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9868" windowHeight="12935" tabRatio="811" firstSheet="4" activeTab="4"/>
  </bookViews>
  <sheets>
    <sheet name="2016" sheetId="13" state="hidden" r:id="rId1"/>
    <sheet name="P&amp;L forcast 2021" sheetId="21" state="hidden" r:id="rId2"/>
    <sheet name="P&amp;L forcast 2021 (2)" sheetId="25" state="hidden" r:id="rId3"/>
    <sheet name="P&amp;L forcast 2021 (3)" sheetId="26" state="hidden" r:id="rId4"/>
    <sheet name="礼盒清单" sheetId="37" r:id="rId5"/>
    <sheet name="Consumption Analysis (2016)" sheetId="20" state="hidden" r:id="rId6"/>
    <sheet name="Consumption Analysis(2017)" sheetId="19" state="hidden" r:id="rId7"/>
    <sheet name="辅助明细帐(2017)" sheetId="22" state="hidden" r:id="rId8"/>
    <sheet name="2017Mooncake Unit Cost" sheetId="23" state="hidden" r:id="rId9"/>
    <sheet name="mooncake cost" sheetId="24" state="hidden" r:id="rId10"/>
  </sheets>
  <externalReferences>
    <externalReference r:id="rId11"/>
  </externalReferences>
  <definedNames>
    <definedName name="_xlnm._FilterDatabase" localSheetId="7" hidden="1">'辅助明细帐(2017)'!$A$4:$K$925</definedName>
    <definedName name="_xlnm.Print_Area" localSheetId="0">'2016'!$A$1:$K$46</definedName>
    <definedName name="_xlnm.Print_Area" localSheetId="8">'2017Mooncake Unit Cost'!$A$1:$I$26</definedName>
    <definedName name="_xlnm.Print_Area" localSheetId="5">'Consumption Analysis (2016)'!$A$1:$V$44</definedName>
    <definedName name="_xlnm.Print_Area" localSheetId="6">'Consumption Analysis(2017)'!$A$1:$W$39</definedName>
    <definedName name="_xlnm.Print_Area" localSheetId="1">'P&amp;L forcast 2021'!$A$1:$T$64</definedName>
    <definedName name="_xlnm.Print_Area" localSheetId="2">'P&amp;L forcast 2021 (2)'!$A$1:$T$66</definedName>
    <definedName name="_xlnm.Print_Area" localSheetId="3">'P&amp;L forcast 2021 (3)'!$A$1:$T$68</definedName>
    <definedName name="_xlnm.Print_Area" localSheetId="4">礼盒清单!$A$1:$I$7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作者</author>
  </authors>
  <commentList>
    <comment ref="N2" authorId="0">
      <text>
        <r>
          <rPr>
            <b/>
            <sz val="9"/>
            <rFont val="宋体"/>
            <charset val="134"/>
          </rPr>
          <t>6600143</t>
        </r>
        <r>
          <rPr>
            <sz val="9"/>
            <rFont val="宋体"/>
            <charset val="134"/>
          </rPr>
          <t xml:space="preserve">
</t>
        </r>
      </text>
    </comment>
    <comment ref="R2" authorId="0">
      <text>
        <r>
          <rPr>
            <b/>
            <sz val="9"/>
            <rFont val="宋体"/>
            <charset val="134"/>
          </rPr>
          <t>6100135免费赠送-服务和礼品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B928" authorId="0">
      <text>
        <r>
          <rPr>
            <b/>
            <sz val="9"/>
            <rFont val="宋体"/>
            <charset val="134"/>
          </rPr>
          <t>S&amp;M采购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<sst xmlns="http://schemas.openxmlformats.org/spreadsheetml/2006/main" count="6306" uniqueCount="1301">
  <si>
    <t>NICCOLO BY MARCO POLO CHENGDU</t>
  </si>
  <si>
    <t>Profit &amp; Loss Statement for Moon Cake Sales in 2016 (revised)</t>
  </si>
  <si>
    <t>Actual</t>
  </si>
  <si>
    <t>Forecast</t>
  </si>
  <si>
    <t>Sales Revenue</t>
  </si>
  <si>
    <t>RMB</t>
  </si>
  <si>
    <t>Mooncake Sales</t>
  </si>
  <si>
    <t>Boxes</t>
  </si>
  <si>
    <t>Average Price (RMB)</t>
  </si>
  <si>
    <t>Unit Price (RMB)</t>
  </si>
  <si>
    <t xml:space="preserve">Osmanthus Large (6pcs x 60gm) </t>
  </si>
  <si>
    <t xml:space="preserve">Osmanthus Small (2pcs x 60gm) </t>
  </si>
  <si>
    <t xml:space="preserve">Kids (6pcs x 60gm) </t>
  </si>
  <si>
    <t>Gross Revenue</t>
  </si>
  <si>
    <t xml:space="preserve">Less: </t>
  </si>
  <si>
    <t>17% VAT</t>
  </si>
  <si>
    <t>Net Revenue</t>
  </si>
  <si>
    <t>Cost of  Sales</t>
  </si>
  <si>
    <t>Mooncakes, Boxes &amp; Bags</t>
  </si>
  <si>
    <t xml:space="preserve">Unit Price </t>
  </si>
  <si>
    <t>Total Cost</t>
  </si>
  <si>
    <t xml:space="preserve">Incentives </t>
  </si>
  <si>
    <t>Sales Incentive to individual Staff</t>
  </si>
  <si>
    <t>Total Incentives</t>
  </si>
  <si>
    <t>Expenses</t>
  </si>
  <si>
    <t xml:space="preserve">Mooncake Flyers, Brochures &amp; Vouchers </t>
  </si>
  <si>
    <t>Shopping Bags</t>
  </si>
  <si>
    <t>Delivery Charge</t>
  </si>
  <si>
    <t xml:space="preserve">Total </t>
  </si>
  <si>
    <t xml:space="preserve">Total Expenses </t>
  </si>
  <si>
    <t>Gross Profit (RMB)</t>
  </si>
  <si>
    <t>Gross Profit %</t>
  </si>
  <si>
    <t>Note</t>
  </si>
  <si>
    <t>Unit price for purchase of moon cakes is exclusive of 17% VAT</t>
  </si>
  <si>
    <t>Remark:</t>
  </si>
  <si>
    <t xml:space="preserve">The difference on original unit price and actual unit price for purchase of moon cake is because the supplier reduced their </t>
  </si>
  <si>
    <t>price as quoted upon hotel ordering</t>
  </si>
  <si>
    <t xml:space="preserve">MARCO POLO WUHAN  </t>
  </si>
  <si>
    <t>Profit &amp; Loss Forecast for Moon Cake Sales in 2021</t>
  </si>
  <si>
    <t>2021 Forcast</t>
  </si>
  <si>
    <t>2020 Actual</t>
  </si>
  <si>
    <t>21 VS 20</t>
  </si>
  <si>
    <t>Specification</t>
  </si>
  <si>
    <t>Selling 
Price</t>
  </si>
  <si>
    <t>Forcast Revenue</t>
  </si>
  <si>
    <t>Discount%</t>
  </si>
  <si>
    <t>Revenue</t>
  </si>
  <si>
    <t>Variance</t>
  </si>
  <si>
    <t>%</t>
  </si>
  <si>
    <r>
      <rPr>
        <sz val="12"/>
        <rFont val="宋体"/>
        <charset val="134"/>
      </rPr>
      <t>享月</t>
    </r>
    <r>
      <rPr>
        <sz val="12"/>
        <rFont val="Calibri"/>
        <charset val="134"/>
      </rPr>
      <t xml:space="preserve">Type I </t>
    </r>
  </si>
  <si>
    <r>
      <rPr>
        <sz val="12"/>
        <rFont val="Calibri"/>
        <charset val="134"/>
      </rPr>
      <t>8pcs x 80g+</t>
    </r>
    <r>
      <rPr>
        <sz val="12"/>
        <rFont val="宋体"/>
        <charset val="134"/>
      </rPr>
      <t>茶饼</t>
    </r>
  </si>
  <si>
    <t>8pcs x 80g</t>
  </si>
  <si>
    <r>
      <rPr>
        <sz val="12"/>
        <rFont val="宋体"/>
        <charset val="134"/>
      </rPr>
      <t>皓月</t>
    </r>
    <r>
      <rPr>
        <sz val="12"/>
        <rFont val="Calibri"/>
        <charset val="134"/>
      </rPr>
      <t xml:space="preserve">Type II </t>
    </r>
  </si>
  <si>
    <r>
      <rPr>
        <sz val="12"/>
        <rFont val="Calibri"/>
        <charset val="134"/>
      </rPr>
      <t>8pcs x 60g+</t>
    </r>
    <r>
      <rPr>
        <sz val="12"/>
        <rFont val="宋体"/>
        <charset val="134"/>
      </rPr>
      <t>红酒</t>
    </r>
  </si>
  <si>
    <t>8pcs x 60g</t>
  </si>
  <si>
    <r>
      <rPr>
        <sz val="12"/>
        <rFont val="宋体"/>
        <charset val="134"/>
      </rPr>
      <t>馨月</t>
    </r>
    <r>
      <rPr>
        <sz val="12"/>
        <rFont val="Calibri"/>
        <charset val="134"/>
      </rPr>
      <t xml:space="preserve">Type III  </t>
    </r>
  </si>
  <si>
    <t>6pcs x 60g</t>
  </si>
  <si>
    <r>
      <rPr>
        <sz val="12"/>
        <rFont val="宋体"/>
        <charset val="134"/>
      </rPr>
      <t>茗月</t>
    </r>
    <r>
      <rPr>
        <sz val="12"/>
        <rFont val="Calibri"/>
        <charset val="134"/>
      </rPr>
      <t>Type IIII (LY Boxes)</t>
    </r>
  </si>
  <si>
    <t>Hamper</t>
  </si>
  <si>
    <t>13% VAT</t>
  </si>
  <si>
    <t>Net Revenue(A)</t>
  </si>
  <si>
    <t xml:space="preserve">Cost </t>
  </si>
  <si>
    <t>Mooncakes, Boxes</t>
  </si>
  <si>
    <t>Avreage Cost</t>
  </si>
  <si>
    <t>1).</t>
  </si>
  <si>
    <t xml:space="preserve">Mooncakes </t>
  </si>
  <si>
    <t xml:space="preserve">享月Type I </t>
  </si>
  <si>
    <t xml:space="preserve">皓月Type II </t>
  </si>
  <si>
    <r>
      <rPr>
        <sz val="12"/>
        <rFont val="宋体"/>
        <charset val="134"/>
      </rPr>
      <t>馨月</t>
    </r>
    <r>
      <rPr>
        <sz val="12"/>
        <rFont val="Calibri"/>
        <charset val="134"/>
      </rPr>
      <t xml:space="preserve"> Type III</t>
    </r>
  </si>
  <si>
    <t>2).</t>
  </si>
  <si>
    <t>Others</t>
  </si>
  <si>
    <r>
      <rPr>
        <sz val="12"/>
        <rFont val="宋体"/>
        <charset val="134"/>
      </rPr>
      <t>皓月</t>
    </r>
    <r>
      <rPr>
        <sz val="12"/>
        <rFont val="Calibri"/>
        <charset val="134"/>
      </rPr>
      <t xml:space="preserve">Type II </t>
    </r>
    <r>
      <rPr>
        <sz val="12"/>
        <rFont val="宋体"/>
        <charset val="134"/>
      </rPr>
      <t>内红酒</t>
    </r>
  </si>
  <si>
    <t>750ml</t>
  </si>
  <si>
    <r>
      <rPr>
        <sz val="12"/>
        <rFont val="宋体"/>
        <charset val="134"/>
      </rPr>
      <t>享月</t>
    </r>
    <r>
      <rPr>
        <sz val="12"/>
        <rFont val="Calibri"/>
        <charset val="134"/>
      </rPr>
      <t xml:space="preserve">Type I </t>
    </r>
    <r>
      <rPr>
        <sz val="12"/>
        <rFont val="宋体"/>
        <charset val="134"/>
      </rPr>
      <t>内茶饼</t>
    </r>
  </si>
  <si>
    <t>80g</t>
  </si>
  <si>
    <t>VAT(Cake, Box and Wine 13%, Tea 3%)</t>
  </si>
  <si>
    <t>Entertainment &amp; Employee Benefit</t>
  </si>
  <si>
    <t>Grand Total Cost (B)</t>
  </si>
  <si>
    <t xml:space="preserve">1) Mooncake Flyers, Brochures &amp; Vouchers </t>
  </si>
  <si>
    <t xml:space="preserve">2) Sales Counter </t>
  </si>
  <si>
    <t>3) Post Fee</t>
  </si>
  <si>
    <t>4) Entertainment</t>
  </si>
  <si>
    <t>5) Mooncake stall set-up costs</t>
  </si>
  <si>
    <t>9) Sales Incentive to individual Staff</t>
  </si>
  <si>
    <t>7)Casual Labour</t>
  </si>
  <si>
    <t>8)Staff Wellfare</t>
  </si>
  <si>
    <t xml:space="preserve">9)Individual Incentives  </t>
  </si>
  <si>
    <t>Total (C)</t>
  </si>
  <si>
    <t>Total Expenses (D=B+C)</t>
  </si>
  <si>
    <t xml:space="preserve">Surtax of VAT </t>
  </si>
  <si>
    <t>Gross Profit (E=A-D)</t>
  </si>
  <si>
    <t>ENT - Giveaway to corporate guests</t>
  </si>
  <si>
    <t>ENT - Giveaway to staff</t>
  </si>
  <si>
    <t>Damaged boxes</t>
  </si>
  <si>
    <t>???</t>
  </si>
  <si>
    <t>????</t>
  </si>
  <si>
    <t>Boxes carried forward to next year</t>
  </si>
  <si>
    <t>ENT - Giveaway to Guests/Staff</t>
  </si>
  <si>
    <t>3).</t>
  </si>
  <si>
    <t xml:space="preserve">10)Team Incentives  </t>
  </si>
  <si>
    <t>2026年武汉风貌安坻酒店粽子礼盒报价清单</t>
  </si>
  <si>
    <t>序号</t>
  </si>
  <si>
    <t>项目名称</t>
  </si>
  <si>
    <t>规格工艺说明</t>
  </si>
  <si>
    <t>图片参考</t>
  </si>
  <si>
    <t xml:space="preserve">数量                    </t>
  </si>
  <si>
    <t xml:space="preserve">净单价（元）                         </t>
  </si>
  <si>
    <t>税额（元）</t>
  </si>
  <si>
    <t>含税单价（元）</t>
  </si>
  <si>
    <t xml:space="preserve">含税总金额（元）                                                     </t>
  </si>
  <si>
    <t>雅粽礼盒</t>
  </si>
  <si>
    <t>盒子尺寸：360mm*100mm*240mm
盒面采用120g白卡，四色印刷，局部做UV，覆亚膜，压纹，裱2.5荷兰板，配高强磁铁、浅绿色拉带。盒斗采用120g白卡，四色印刷，压纹，覆亚膜 裱2.0灰板，内裱靠色配纸。
小内盒：250g白卡，四色印刷，覆亚膜。
手提袋：250g白卡，四色印刷，覆亚膜，配扁绸带外纸箱：五层加强瓦楞纸箱，8盒/箱</t>
  </si>
  <si>
    <t>艺粽礼盒</t>
  </si>
  <si>
    <t>尺寸:420*130*280cm
材料:定制高档纯色牛仔布，里衬涤棉里布涂胶加贴袋、包口挂环扣，内置无纺布袋：尺寸：320*260
工艺:车缝线、丝印logo
五金配件: 银色金属铆钉、D 形环、四合扣，表面做防锈处理                               外纸箱：五层加强瓦楞纸箱，10盒/箱</t>
  </si>
  <si>
    <t>净总价（元）</t>
  </si>
  <si>
    <t>税率（增值税专用发票）</t>
  </si>
  <si>
    <t>含税包干总价（元）</t>
  </si>
  <si>
    <t>2016 Mooncake Consumption Analysis</t>
  </si>
  <si>
    <r>
      <rPr>
        <sz val="9"/>
        <rFont val="宋体"/>
        <charset val="134"/>
        <scheme val="minor"/>
      </rPr>
      <t>P</t>
    </r>
    <r>
      <rPr>
        <sz val="9"/>
        <rFont val="宋体"/>
        <charset val="134"/>
        <scheme val="minor"/>
      </rPr>
      <t>ICC NO</t>
    </r>
  </si>
  <si>
    <r>
      <rPr>
        <sz val="9"/>
        <rFont val="宋体"/>
        <charset val="134"/>
        <scheme val="minor"/>
      </rPr>
      <t>C</t>
    </r>
    <r>
      <rPr>
        <sz val="9"/>
        <rFont val="宋体"/>
        <charset val="134"/>
        <scheme val="minor"/>
      </rPr>
      <t>hinese Name</t>
    </r>
  </si>
  <si>
    <r>
      <rPr>
        <sz val="9"/>
        <rFont val="宋体"/>
        <charset val="134"/>
        <scheme val="minor"/>
      </rPr>
      <t xml:space="preserve">English </t>
    </r>
    <r>
      <rPr>
        <sz val="9"/>
        <rFont val="宋体"/>
        <charset val="134"/>
        <scheme val="minor"/>
      </rPr>
      <t>Name</t>
    </r>
  </si>
  <si>
    <r>
      <rPr>
        <sz val="9"/>
        <rFont val="宋体"/>
        <charset val="134"/>
        <scheme val="minor"/>
      </rPr>
      <t>Q</t>
    </r>
    <r>
      <rPr>
        <sz val="9"/>
        <rFont val="宋体"/>
        <charset val="134"/>
        <scheme val="minor"/>
      </rPr>
      <t>ty.</t>
    </r>
  </si>
  <si>
    <t>欣月</t>
  </si>
  <si>
    <t>轩月</t>
  </si>
  <si>
    <t>初月</t>
  </si>
  <si>
    <t>Unit Price</t>
  </si>
  <si>
    <r>
      <rPr>
        <sz val="9"/>
        <rFont val="宋体"/>
        <charset val="134"/>
        <scheme val="minor"/>
      </rPr>
      <t>C</t>
    </r>
    <r>
      <rPr>
        <sz val="9"/>
        <rFont val="宋体"/>
        <charset val="134"/>
        <scheme val="minor"/>
      </rPr>
      <t>ost</t>
    </r>
  </si>
  <si>
    <r>
      <rPr>
        <sz val="9"/>
        <rFont val="宋体"/>
        <charset val="134"/>
        <scheme val="minor"/>
      </rPr>
      <t>S</t>
    </r>
    <r>
      <rPr>
        <sz val="9"/>
        <rFont val="宋体"/>
        <charset val="134"/>
        <scheme val="minor"/>
      </rPr>
      <t>ales</t>
    </r>
  </si>
  <si>
    <t>Transfer to Staff Canteen</t>
  </si>
  <si>
    <t>ENT</t>
  </si>
  <si>
    <t>Transfer to Rooms</t>
  </si>
  <si>
    <t>Transfer to RB&amp;E</t>
  </si>
  <si>
    <t>Surplus Total</t>
  </si>
  <si>
    <t>Cost</t>
  </si>
  <si>
    <t>10910008</t>
  </si>
  <si>
    <t>奶黄月饼</t>
  </si>
  <si>
    <t>Egg custard mooncake</t>
  </si>
  <si>
    <t>60gm</t>
  </si>
  <si>
    <t>10910009</t>
  </si>
  <si>
    <t>五仁金腿月饼</t>
  </si>
  <si>
    <t>Mixed nut with Chinese ham moon cake</t>
  </si>
  <si>
    <t>10910010</t>
  </si>
  <si>
    <t>低糖蛋黄白莲蓉月饼</t>
  </si>
  <si>
    <t>Low Sugar White Lotus Seed Paste with Egg Yolks</t>
  </si>
  <si>
    <t>10910011</t>
  </si>
  <si>
    <t>低糖松子白莲蓉月饼</t>
  </si>
  <si>
    <t>Low Sugar White Lotus Seed Paste with Pine Nut Mooncake</t>
  </si>
  <si>
    <t>10910012</t>
  </si>
  <si>
    <t>抹茶红豆月饼</t>
  </si>
  <si>
    <t>Green Tea Paste with Red Bean Mooncake</t>
  </si>
  <si>
    <t>10910013</t>
  </si>
  <si>
    <t>红酒蔓越莓月饼</t>
  </si>
  <si>
    <t>Raspberry with Red Wine Mooncake</t>
  </si>
  <si>
    <t>10910014</t>
  </si>
  <si>
    <t>椰皇蓉月饼</t>
  </si>
  <si>
    <t>Coconut Paste Mooncake</t>
  </si>
  <si>
    <t>40410184</t>
  </si>
  <si>
    <t>欣月月饼盒</t>
  </si>
  <si>
    <t>Classic Mooncakes Box</t>
  </si>
  <si>
    <t>香港总部设计</t>
  </si>
  <si>
    <t>40410185</t>
  </si>
  <si>
    <t>轩月月饼盒</t>
  </si>
  <si>
    <t>Deluxe Mooncake Box</t>
  </si>
  <si>
    <t>40410186</t>
  </si>
  <si>
    <t>初月月饼盒</t>
  </si>
  <si>
    <t>Piccolo Mooncakes Box</t>
  </si>
  <si>
    <t xml:space="preserve"> Total</t>
  </si>
  <si>
    <t>40410134</t>
  </si>
  <si>
    <t>月饼宣传单页</t>
  </si>
  <si>
    <t>Mooncake Flyer</t>
  </si>
  <si>
    <t>145*275mm</t>
  </si>
  <si>
    <t>40410181</t>
  </si>
  <si>
    <t>月饼礼券</t>
  </si>
  <si>
    <t>Mooncake Voucher</t>
  </si>
  <si>
    <t>210*75mm</t>
  </si>
  <si>
    <t>40410182</t>
  </si>
  <si>
    <t>月饼礼券信封</t>
  </si>
  <si>
    <t>Mooncake Voucher Envelope</t>
  </si>
  <si>
    <t>220*95mm</t>
  </si>
  <si>
    <t>40410187</t>
  </si>
  <si>
    <t>欣月月饼手提袋</t>
  </si>
  <si>
    <t>Classic Mooncakes paper bag</t>
  </si>
  <si>
    <t>香港总部设计,Osmanthus Shopping bag for 2pcs</t>
  </si>
  <si>
    <t>40410188</t>
  </si>
  <si>
    <t>轩月月饼手提袋</t>
  </si>
  <si>
    <t>Deluxe Mooncakes paper bag</t>
  </si>
  <si>
    <t>香港总部设计,Osmanthus Shopping bag for 6pcs</t>
  </si>
  <si>
    <t>40410189</t>
  </si>
  <si>
    <t>初月月饼手提袋</t>
  </si>
  <si>
    <t>Piccolo Mooncakes shopping bag</t>
  </si>
  <si>
    <t>香港总部设计Piccolo shopping bag for 6pcs</t>
  </si>
  <si>
    <t>Others Total</t>
  </si>
  <si>
    <t>Grand Total</t>
  </si>
  <si>
    <t>单位名称：Niccolo Chengdu 打印：Emma Tao 打印时间：2016-09-18</t>
  </si>
  <si>
    <t>Remark: 由于欣月数量不足，其中26盒欣月换成10盒轩月进行售卖。</t>
  </si>
  <si>
    <t>轩月月饼</t>
  </si>
  <si>
    <t>Osmanthus Large (6pcs x 60gm)</t>
  </si>
  <si>
    <t>欣月月饼</t>
  </si>
  <si>
    <t>Osmanthus Large (2pcs x 60gm)</t>
  </si>
  <si>
    <t>初月月饼</t>
  </si>
  <si>
    <r>
      <rPr>
        <sz val="9"/>
        <rFont val="宋体"/>
        <charset val="134"/>
        <scheme val="minor"/>
      </rPr>
      <t>K</t>
    </r>
    <r>
      <rPr>
        <sz val="9"/>
        <rFont val="宋体"/>
        <charset val="134"/>
        <scheme val="minor"/>
      </rPr>
      <t>ids (6pcs x 60gm)</t>
    </r>
  </si>
  <si>
    <r>
      <rPr>
        <sz val="9"/>
        <rFont val="宋体"/>
        <charset val="134"/>
        <scheme val="minor"/>
      </rPr>
      <t>以下分摊明细为上表中关于E</t>
    </r>
    <r>
      <rPr>
        <sz val="9"/>
        <rFont val="宋体"/>
        <charset val="134"/>
        <scheme val="minor"/>
      </rPr>
      <t>&amp;T（RMB28，875.28)和Transfer to RB&amp;E(RMB3,876.96)的分部门分摊明细。</t>
    </r>
  </si>
  <si>
    <t>Total Qty.</t>
  </si>
  <si>
    <t>RB&amp;E</t>
  </si>
  <si>
    <t>S&amp;M</t>
  </si>
  <si>
    <t>Rooms</t>
  </si>
  <si>
    <t>Finance</t>
  </si>
  <si>
    <t>HR</t>
  </si>
  <si>
    <t>ENG</t>
  </si>
  <si>
    <t>NK</t>
  </si>
  <si>
    <t>YH</t>
  </si>
  <si>
    <t>TL</t>
  </si>
  <si>
    <t>BQT</t>
  </si>
  <si>
    <t>Remark: FB&amp;E宴请部分按照5个餐厅平均分配，NK 22盒，YH 22盒，TL 22 盒， BAR 22盒， BQT 22盒，平均每个餐厅分摊RMB888.47</t>
  </si>
  <si>
    <t>视同销售VAT</t>
  </si>
  <si>
    <t>免费赠送&amp;ENT</t>
  </si>
  <si>
    <t>sales</t>
  </si>
  <si>
    <t>Box</t>
  </si>
  <si>
    <t>VAT</t>
  </si>
  <si>
    <t>2017 Mooncake Consumption Analysis</t>
  </si>
  <si>
    <t>2016款</t>
  </si>
  <si>
    <t>Transfer to Staff</t>
  </si>
  <si>
    <t>10910015</t>
  </si>
  <si>
    <t>蛋黄白莲蓉月饼</t>
  </si>
  <si>
    <t>White lotus yolk moom cake</t>
  </si>
  <si>
    <t>60克</t>
  </si>
  <si>
    <t>10910016</t>
  </si>
  <si>
    <t>果仁豆沙月饼</t>
  </si>
  <si>
    <t>Red Beanmoon cake</t>
  </si>
  <si>
    <t>10910017</t>
  </si>
  <si>
    <t>茉莉花茶蓉月饼</t>
  </si>
  <si>
    <t>Jasminemoon cake</t>
  </si>
  <si>
    <t>10910018</t>
  </si>
  <si>
    <t>鲜花馅系列月饼</t>
  </si>
  <si>
    <t>Flowermoon cake</t>
  </si>
  <si>
    <t>10910019</t>
  </si>
  <si>
    <t>金腿伍仁月饼</t>
  </si>
  <si>
    <t>Hammoon cake</t>
  </si>
  <si>
    <t>10910020</t>
  </si>
  <si>
    <t>纯正莲蓉月饼</t>
  </si>
  <si>
    <t>Plain Lotusmoon cake</t>
  </si>
  <si>
    <t>10910021</t>
  </si>
  <si>
    <t>Coconutmoon cake</t>
  </si>
  <si>
    <t>10910022</t>
  </si>
  <si>
    <t>香辣牛肉月饼</t>
  </si>
  <si>
    <t>Spicy Beefmoon cake</t>
  </si>
  <si>
    <t>10910023</t>
  </si>
  <si>
    <t>XO干贝月饼</t>
  </si>
  <si>
    <t>XO Scallopmoon cake</t>
  </si>
  <si>
    <t>10910024</t>
  </si>
  <si>
    <t>80克</t>
  </si>
  <si>
    <t>10910025</t>
  </si>
  <si>
    <t>10910026</t>
  </si>
  <si>
    <t>10910027</t>
  </si>
  <si>
    <t>10910028</t>
  </si>
  <si>
    <t>10910029</t>
  </si>
  <si>
    <t>40410199</t>
  </si>
  <si>
    <t>2017欣月月饼盒</t>
  </si>
  <si>
    <t>2017Mooncake Box</t>
  </si>
  <si>
    <t>40410200</t>
  </si>
  <si>
    <t>2017轩月月饼盒</t>
  </si>
  <si>
    <t>40410201</t>
  </si>
  <si>
    <t>2017初月月饼盒</t>
  </si>
  <si>
    <t>40410202</t>
  </si>
  <si>
    <t>2017欣月月饼手提袋</t>
  </si>
  <si>
    <t>2017Mooncakes paper bag</t>
  </si>
  <si>
    <t>40410203</t>
  </si>
  <si>
    <t>2017轩月月饼手提袋</t>
  </si>
  <si>
    <t>40410204</t>
  </si>
  <si>
    <t>2017初月月饼手提袋</t>
  </si>
  <si>
    <t>轩月月饼盒(2016内包装）</t>
  </si>
  <si>
    <t>香港总部设计Osmanthus Gold(6 pcs - 60gm/80gm)</t>
  </si>
  <si>
    <t>2016轩月月饼手提袋</t>
  </si>
  <si>
    <t>Cost of 2017Mooncakes paper bag</t>
  </si>
  <si>
    <t>food-cake</t>
  </si>
  <si>
    <t>box-cake</t>
  </si>
  <si>
    <t>Mooncake &amp; Boxes cost</t>
  </si>
  <si>
    <t>Remark:其中用8张供应商买轩月的票领用初月的月饼，故收入在轩月成本在初月。</t>
  </si>
  <si>
    <t xml:space="preserve"> Employee benefit</t>
  </si>
  <si>
    <t>Unit Sale</t>
  </si>
  <si>
    <t>VAT%</t>
  </si>
  <si>
    <t>Total</t>
  </si>
  <si>
    <t>辅助明细帐</t>
  </si>
  <si>
    <t>核算期:201701-201709 实际数据 科目:1401004</t>
  </si>
  <si>
    <t>核算期</t>
  </si>
  <si>
    <t>日期</t>
  </si>
  <si>
    <t>类型</t>
  </si>
  <si>
    <t>编号</t>
  </si>
  <si>
    <t>科目</t>
  </si>
  <si>
    <t>名称</t>
  </si>
  <si>
    <t>摘要</t>
  </si>
  <si>
    <t>借方</t>
  </si>
  <si>
    <t>贷方</t>
  </si>
  <si>
    <t>余额</t>
  </si>
  <si>
    <t>辅助项</t>
  </si>
  <si>
    <t>201701</t>
  </si>
  <si>
    <t>期初余额</t>
  </si>
  <si>
    <t>2017-01-09</t>
  </si>
  <si>
    <t>Accounts Payment Invoice</t>
  </si>
  <si>
    <t>1401004</t>
  </si>
  <si>
    <t>其他流动资产</t>
  </si>
  <si>
    <t>单号0066.郵件群發公司-销售部 2017.1-12月 总价22000.00,3%VAT 上海芮司文化传播有限公司</t>
  </si>
  <si>
    <t>2017-01-11</t>
  </si>
  <si>
    <t>单号0091.保险箱珠宝盒-客房部 2017.1-2月</t>
  </si>
  <si>
    <t>2017-01-12</t>
  </si>
  <si>
    <t>单号0103OT9999.临时物品-安保部香烟 2017.1-3月</t>
  </si>
  <si>
    <t>单号0104BV0005.临时物品-安保部酒水 2017.1-3月</t>
  </si>
  <si>
    <t>2017-01-13</t>
  </si>
  <si>
    <t>单号0126OT9999.ABTA广告公司-公关部 2016.12-2017.12月 ￥88624.90 0%VAT</t>
  </si>
  <si>
    <t>2017-01-17</t>
  </si>
  <si>
    <t>单号0162OT9999.AORO多用途数据线-与重庆对冲</t>
  </si>
  <si>
    <t>2017-01-23</t>
  </si>
  <si>
    <t>单号0243GG0006.熨斗熨板卡-与重庆部分对冲</t>
  </si>
  <si>
    <t>2017-01-24</t>
  </si>
  <si>
    <t>Accounts Payment Journal</t>
  </si>
  <si>
    <t>付酒店网安信息管理系统服务费2017.2.28-2018.2.27 Total：2000.00,3%VAT</t>
  </si>
  <si>
    <t>Petty Cash Journal</t>
  </si>
  <si>
    <t>付财务部张玉报销酒店2017.1-12月POS机费用报销</t>
  </si>
  <si>
    <t>2017-01-31</t>
  </si>
  <si>
    <t>General Journal - Standard JV Import</t>
  </si>
  <si>
    <t>1月摊销旅馆治安管理系统维保费</t>
  </si>
  <si>
    <t>1月摊销赛门铁克-杀毒软件维保费</t>
  </si>
  <si>
    <t>1月摊销深信服-朗弘科维保费</t>
  </si>
  <si>
    <t>1月摊销施耐德不间断电源-西通维保费</t>
  </si>
  <si>
    <t>1月摊销SMS软件及端口租赁、远程技术服务费用</t>
  </si>
  <si>
    <t>1月摊销客用打印（英达特）系统维保费</t>
  </si>
  <si>
    <t>分摊1月40M网络备用线路费用（客用网络）-中国移动（2016.04.01-2017.03.31）</t>
  </si>
  <si>
    <t>分摊1月100M网络费</t>
  </si>
  <si>
    <t>分摊1月20兆办公网络费用（2016.1.1-2017.2.28）</t>
  </si>
  <si>
    <t>分摊1月儿童房卡（2016.12-2017.3）</t>
  </si>
  <si>
    <t>分摊1月客房房卡（2016.12-2017.3）</t>
  </si>
  <si>
    <t>分摊1月美国商会会费-（total:5208.00 2016.10-2017.9）</t>
  </si>
  <si>
    <t>分摊1月保安服务公司可视联网报警系统服务费用（2016.05.01-2017.04.30）</t>
  </si>
  <si>
    <t>分摊1月外文报纸订购费-外文报和平图书（2016.04-2017.03）</t>
  </si>
  <si>
    <t>分摊1月Earth Chark会员费用（2016.03-2017.02）</t>
  </si>
  <si>
    <t>分摊1月《华西都市报》报纸费用（2016.04-2017.03）</t>
  </si>
  <si>
    <t>分摊1月《成都商报》报纸费用（2016.04-2017.03）</t>
  </si>
  <si>
    <t>分摊1月餐饮前厅部音乐背景（2016.04-2017.03）</t>
  </si>
  <si>
    <t>分摊1月境外卫星电视频道收视费（2016.04.14-2017.04.13）</t>
  </si>
  <si>
    <t>分摊1月酒店数字基础收视费（2017.1.1-2017.12.31）</t>
  </si>
  <si>
    <t>分摊1月《中国日报》报纸费用（2016.04-2017.03）</t>
  </si>
  <si>
    <t>分摊1月美通社新闻发稿费用(2016.8-2017.7)</t>
  </si>
  <si>
    <t>分摊1月猫途鹰网企业名录-$1090.00（2016.10-2017.08）</t>
  </si>
  <si>
    <t>分摊1月欧盟商会会费 ￥15766.63(2016.11-2017.9.30)</t>
  </si>
  <si>
    <t>分摊1月常年法律顾问费用-衡平律师事务所（2016.9-2017.9）（总价：30000,6%VAT）</t>
  </si>
  <si>
    <t>分摊1月最佳东方合同续签费用-￥8094.34(2016.11.18-2018.1.17)</t>
  </si>
  <si>
    <t>分摊1月英语培训课程费用-学良培训（2016.10-2017.10）（总价：46080.00，VAT3%）</t>
  </si>
  <si>
    <t>分摊1月床尾巾费用（2015.06-2018.05）</t>
  </si>
  <si>
    <t>摊销1月游泳池水质监测费用-中铁二局（2016.12-2017.11）</t>
  </si>
  <si>
    <t>摊销1月先锋文化传媒广告费用（2017.1-6）</t>
  </si>
  <si>
    <t>摊销1月ABTA广告公司费用（2016.12-2017.12）</t>
  </si>
  <si>
    <t>分摊1月广告费用-四川全球通广告有限公司</t>
  </si>
  <si>
    <t>摊销1月SMS短信费用（2017.1-12）</t>
  </si>
  <si>
    <t>摊销1月邮件群发费用-上海莴司文化（2017.1-12）</t>
  </si>
  <si>
    <t>摊销1月客房保险箱珠宝盒费用（2017.1-2）</t>
  </si>
  <si>
    <t>摊销1月安保部购买香烟费用（2017.1-3）</t>
  </si>
  <si>
    <t>摊销1月安保部购买酒水费用（2017.1-3）</t>
  </si>
  <si>
    <t>摊销2017年酒店POS机充值费用</t>
  </si>
  <si>
    <t>2017-02-02</t>
  </si>
  <si>
    <t>Cost Control</t>
  </si>
  <si>
    <t>客人购买3个茶杯（单价RMB35.00）2017.01</t>
  </si>
  <si>
    <t>本期合计</t>
  </si>
  <si>
    <t>本年累计</t>
  </si>
  <si>
    <t>201702</t>
  </si>
  <si>
    <t>2017-02-13</t>
  </si>
  <si>
    <t>单号0002.互诚信息技术（上海）有限公司-大众点评推广服务 公关部 6%VAT 合同总价￥75000.00 时间区间见合同</t>
  </si>
  <si>
    <t>单号0047OS0026.思科交换机维保-IT 2017.2-12月</t>
  </si>
  <si>
    <t>单号0056OT0027.Aroma Therapy 护发素-健身中心2017.2-7</t>
  </si>
  <si>
    <t>单号0056OT0027.Aroma Therapy 沐浴露-健身中心2017.2-7</t>
  </si>
  <si>
    <t>单号0056OT0027.Aroma Therapy 洗发水-健身中心2017.2-7</t>
  </si>
  <si>
    <t>2017-02-21</t>
  </si>
  <si>
    <t>单号0149OT0106.无线控制器维保-IT 2017.2-12月 3%VAT 总价21170.00</t>
  </si>
  <si>
    <t>2017-02-28</t>
  </si>
  <si>
    <t>付人事部2017.3.4最佳东方专场招聘费用</t>
  </si>
  <si>
    <t>2月宴会厅领用制服费用</t>
  </si>
  <si>
    <t>2月摊销旅馆治安管理系统维保费</t>
  </si>
  <si>
    <t>2月摊销赛门铁克-杀毒软件维保费</t>
  </si>
  <si>
    <t>2月摊销深信服-朗弘科维保费</t>
  </si>
  <si>
    <t>2月摊销施耐德不间断电源-西通维保费</t>
  </si>
  <si>
    <t>2月摊销SMS软件及端口租赁、远程技术服务费用</t>
  </si>
  <si>
    <t>2月摊销客用打印（英达特）系统维保费</t>
  </si>
  <si>
    <t>分摊2月40M网络备用线路费用（客用网络）-中国移动（2016.04.01-2017.03.31）</t>
  </si>
  <si>
    <t>计提2月思科网络设备-创思益信息技术维保费</t>
  </si>
  <si>
    <t>计提2月客用AC控制器-易耐特维保费</t>
  </si>
  <si>
    <t>分摊2月100M网络费</t>
  </si>
  <si>
    <t>分摊2月20兆办公网络费用（2016.1.1-2017.2.28）</t>
  </si>
  <si>
    <t>分摊2月儿童房卡（2016.12-2017.3）</t>
  </si>
  <si>
    <t>分摊2月客房房卡（2016.12-2017.3）</t>
  </si>
  <si>
    <t>分摊2月美国商会会费-（total:5208.00 2016.10-2017.9）</t>
  </si>
  <si>
    <t>分摊2月保安服务公司可视联网报警系统服务费用（2016.05.01-2017.04.30）</t>
  </si>
  <si>
    <t>分摊2月外文报纸订购费-外文报和平图书（2016.04-2017.03）</t>
  </si>
  <si>
    <t>分摊2月Earth Chark会员费用（2016.03-2017.02）</t>
  </si>
  <si>
    <t>分摊2月《华西都市报》报纸费用（2016.04-2017.03）</t>
  </si>
  <si>
    <t>分摊2月《成都商报》报纸费用（2016.04-2017.03）</t>
  </si>
  <si>
    <t>分摊2月餐饮前厅部音乐背景（2016.04-2017.03）</t>
  </si>
  <si>
    <t>分摊2月境外卫星电视频道收视费（2016.04.14-2017.04.13）</t>
  </si>
  <si>
    <t>分摊2月酒店数字基础收视费（2017.1.1-2017.12.31）</t>
  </si>
  <si>
    <t>分摊2月《中国日报》报纸费用（2016.04-2017.03）</t>
  </si>
  <si>
    <t>分摊2月美通社新闻发稿费用(2016.8-2017.7)</t>
  </si>
  <si>
    <t>分摊2月猫途鹰网企业名录-$1090.00（2016.10-2017.08）</t>
  </si>
  <si>
    <t>分摊2月欧盟商会会费 ￥15766.63(2016.11-2017.9.30)</t>
  </si>
  <si>
    <t>分摊2月常年法律顾问费用-衡平律师事务所（2016.9-2017.9）（总价：30000,6%VAT）</t>
  </si>
  <si>
    <t>分摊2月最佳东方合同续签费用-￥8094.34(2016.11.18-2018.1.17)</t>
  </si>
  <si>
    <t>分摊2月英语培训课程费用-学良培训（2016.10-2017.10）（总价：46080.00，VAT3%）</t>
  </si>
  <si>
    <t>分摊2月床尾巾费用（2015.06-2018.05）</t>
  </si>
  <si>
    <t>摊销2月游泳池水质监测费用-中铁二局（2016.12-2017.11）</t>
  </si>
  <si>
    <t>摊销2月先锋文化传媒广告费用（2017.1-6）</t>
  </si>
  <si>
    <t>摊销2月ABTA广告公司费用（2016.12-2017.12）</t>
  </si>
  <si>
    <t>摊销2月SMS短信费用（2017.1-12）</t>
  </si>
  <si>
    <t>摊销2月邮件群发费用-上海莴司文化（2017.1-12）</t>
  </si>
  <si>
    <t>摊销2月客房保险箱珠宝盒费用（2017.1-2）</t>
  </si>
  <si>
    <t>摊销2月安保部购买香烟费用（2017.1-3）</t>
  </si>
  <si>
    <t>摊销2月安保部购买酒水费用（2017.1-3）</t>
  </si>
  <si>
    <t>调整客人购买三个茶杯</t>
  </si>
  <si>
    <t>摊销2月互诚信息技术-大众点评推广服务</t>
  </si>
  <si>
    <t>摊销健身中心购买洗浴用品（￥4847.14,2017.2-2017.7）</t>
  </si>
  <si>
    <t>2月宴会厅领用30套制服(分摊四个月,2017.2-2017.5)</t>
  </si>
  <si>
    <t>调整2月13日领出烟灰缸-冲重庆调拨物品</t>
  </si>
  <si>
    <t>201703</t>
  </si>
  <si>
    <t>2017-03-02</t>
  </si>
  <si>
    <t>单号0036GG0015.百洁垫-红色-公区 2017.3-5</t>
  </si>
  <si>
    <t>2017-03-06</t>
  </si>
  <si>
    <t>单号0057OT9999.EarthCheck 2017年审计费用AUD2090.00-S&amp;M 2017.3.31-2018.3.30</t>
  </si>
  <si>
    <t>2017-03-14</t>
  </si>
  <si>
    <t>单号0121OT9999.微信后台搭建-市场传讯部-2017.2.28-2018.2.27</t>
  </si>
  <si>
    <t>2017-03-16</t>
  </si>
  <si>
    <t>单号0142OT9999.德勤MICE和CFB测试-S&amp;M 2017.2-12 全额USD3000.00 第一次付款50%</t>
  </si>
  <si>
    <t>2017-03-17</t>
  </si>
  <si>
    <t>单号0149GG0006.欣厨菜单封面-欣厨 2017.3-5月</t>
  </si>
  <si>
    <t>单号0151GG0006.西餐厅菜单内页设计-欣厨 2017.3-5月</t>
  </si>
  <si>
    <t>单号0162OT9999.Earthcheck 年费 AUD4500.00 工程部 2017.3.31-2018.3.30</t>
  </si>
  <si>
    <t>2017-03-29</t>
  </si>
  <si>
    <t>单号0256GG0003.保密工资条</t>
  </si>
  <si>
    <t>2017-03-30</t>
  </si>
  <si>
    <t>单号0259OT9999.临时物品-2017年月饼盒内外包装艺术作品设计费用</t>
  </si>
  <si>
    <t>2017-03-31</t>
  </si>
  <si>
    <t>付Earthcheck 2017年审计评估费用-差异调整（AUD2090.00，USD1603.36，3.1汇率6.8798）</t>
  </si>
  <si>
    <t>付酒店2017年福布斯合作费用及培训工具费用（USD8500.00,3.1汇率6.8798）</t>
  </si>
  <si>
    <t>分摊3月100M网络费</t>
  </si>
  <si>
    <t>分摊3月儿童房卡（2016.12-2017.3）</t>
  </si>
  <si>
    <t>分摊3月客房房卡（2016.12-2017.3）</t>
  </si>
  <si>
    <t>分摊3月美国商会会费-（total:5208.00 2016.10-2017.9）</t>
  </si>
  <si>
    <t>分摊3月保安服务公司可视联网报警系统服务费用（2016.05.01-2017.04.30）</t>
  </si>
  <si>
    <t>分摊3月外文报纸订购费-外文报和平图书（2016.04-2017.03）</t>
  </si>
  <si>
    <t>分摊3月《华西都市报》报纸费用（2016.04-2017.03）</t>
  </si>
  <si>
    <t>分摊3月《成都商报》报纸费用（2016.04-2017.03）</t>
  </si>
  <si>
    <t>分摊3月餐饮前厅部音乐背景（2016.04-2017.03）</t>
  </si>
  <si>
    <t>分摊3月境外卫星电视频道收视费（2016.04.14-2017.04.13）</t>
  </si>
  <si>
    <t>分摊3月酒店数字基础收视费（2017.1.1-2017.12.31）</t>
  </si>
  <si>
    <t>分摊3月美通社新闻发稿费用(2016.8-2017.7)</t>
  </si>
  <si>
    <t>分摊3月猫途鹰网企业名录-$1090.00（2016.10-2017.08）</t>
  </si>
  <si>
    <t>分摊3月欧盟商会会费 ￥15766.63(2016.11-2017.9.30)</t>
  </si>
  <si>
    <t>分摊3月常年法律顾问费用-衡平律师事务所（2016.9-2017.9）（总价：30000,6%VAT）</t>
  </si>
  <si>
    <t>分摊3月最佳东方合同续签费用-￥8094.34(2016.11.18-2018.1.17)</t>
  </si>
  <si>
    <t>分摊3月英语培训课程费用-学良培训（2016.10-2017.10）（总价：46080.00，VAT3%）</t>
  </si>
  <si>
    <t>分摊3月床尾巾费用（2015.06-2018.05）</t>
  </si>
  <si>
    <t>摊销3月游泳池水质监测费用-中铁二局（2016.12-2017.11）</t>
  </si>
  <si>
    <t>摊销3月先锋文化传媒广告费用（2017.1-6）</t>
  </si>
  <si>
    <t>摊销3月ABTA广告公司费用（2016.12-2017.12）</t>
  </si>
  <si>
    <t>摊销3月SMS短信费用（2017.1-12）</t>
  </si>
  <si>
    <t>宇辉英汇合同续签费用-(2017.3.1-2019.3.1)</t>
  </si>
  <si>
    <t>摊销3月邮件群发费用-上海莴司文化（2017.1-12）</t>
  </si>
  <si>
    <t>摊销3月安保部购买香烟费用（2017.1-3）</t>
  </si>
  <si>
    <t>摊销3月安保部购买酒水费用（2017.1-3）</t>
  </si>
  <si>
    <t>摊销3月互诚信息技术-大众点评推广服务</t>
  </si>
  <si>
    <t>最佳东方2017.3.4专场招聘费用</t>
  </si>
  <si>
    <t>3月宴会厅领用30套制服(分摊三个月,2017.2-2017.4)</t>
  </si>
  <si>
    <t>分摊3月百洁垫-红色-公区 2017.3-5</t>
  </si>
  <si>
    <t>分摊3月微信后台搭建（2017.2.28-2018.2.27）</t>
  </si>
  <si>
    <t>分摊3月德勤MICE和CFB测试-S&amp;M （2017.2-12 ）</t>
  </si>
  <si>
    <t>分摊3月欣厨菜单封面-欣厨 （2017.3-5）</t>
  </si>
  <si>
    <t>分摊3月西餐厅菜单内页设计-欣厨 （2017.3-5）</t>
  </si>
  <si>
    <t>保密工资条(2017.3-8)</t>
  </si>
  <si>
    <t>2017年福布斯合作费用及培训工具费用(2017.3-12)</t>
  </si>
  <si>
    <t>3月份领用方巾\中巾\浴巾(2017.4-5)-楼层</t>
  </si>
  <si>
    <t>3月摊销旅馆治安管理系统维保费</t>
  </si>
  <si>
    <t>3月摊销赛门铁克-杀毒软件维保费</t>
  </si>
  <si>
    <t>3月摊销深信服-朗弘科维保费</t>
  </si>
  <si>
    <t>3月摊销施耐德不间断电源-西通维保费</t>
  </si>
  <si>
    <t>3月摊销SMS软件及端口租赁、远程技术服务费用</t>
  </si>
  <si>
    <t>3月摊销客用打印（英达特）系统维保费</t>
  </si>
  <si>
    <t>3月摊销公安安检系统（国安）</t>
  </si>
  <si>
    <t>分摊3月40M网络备用线路费用（客用网络）-中国移动（2016.04.01-2017.03.31）</t>
  </si>
  <si>
    <t>计提3月思科网络设备-创思益信息技术维保费</t>
  </si>
  <si>
    <t>计提3月客用AC控制器-易耐特维保费</t>
  </si>
  <si>
    <t>201704</t>
  </si>
  <si>
    <t>2017-04-01</t>
  </si>
  <si>
    <t>单号0009GG0023.服务指南皮套 楼层 2017.4-6月</t>
  </si>
  <si>
    <t>2017-04-05</t>
  </si>
  <si>
    <t>单号0034OT9999.客房Ipad安装Pressreader阅读系统 前台 2017.4-2018.3</t>
  </si>
  <si>
    <t>2017-04-13</t>
  </si>
  <si>
    <t>单号0109.Sangfor1年维保-IT 至2018.3.18</t>
  </si>
  <si>
    <t>2017-04-17</t>
  </si>
  <si>
    <t>单号0135OT9999.英商年会费-市场传讯部 2017.3.16-2018.3.15</t>
  </si>
  <si>
    <t>2017-04-20</t>
  </si>
  <si>
    <t>单号0158GG0020.探索卡 卡套-RB&amp;E 2017.4-12月</t>
  </si>
  <si>
    <t>单号0159GG0020.探索卡 卡片-RB&amp;E 2017.4-12月</t>
  </si>
  <si>
    <t>单号0160.施耐德不间断电源维保-IT 2017.4.45-2018.4.14</t>
  </si>
  <si>
    <t>单号0161OS0030.石基系统维保-IT 2017.1.1-2017.12.31</t>
  </si>
  <si>
    <t>2017-04-21</t>
  </si>
  <si>
    <t>单号0172OT0026.客房房卡-前厅部 2017.4-2017.9月</t>
  </si>
  <si>
    <t>2017-04-25</t>
  </si>
  <si>
    <t>付酒店2016.12-2017.12月广告费-APL-差异调整</t>
  </si>
  <si>
    <t>付销售部MICE、CFB2017.2-2017.12月评估服务费用50%付款-差异调整</t>
  </si>
  <si>
    <t>付EarthCheck2017.3.31-2018.3.30年费-差异差异调整</t>
  </si>
  <si>
    <t>付Sangfor2017.3.19-2018.3.18维保费用-奥华-差异调整</t>
  </si>
  <si>
    <t>单号0198OT9999.无线电台2017年检验照费用支付-工程部</t>
  </si>
  <si>
    <t>单号0207OT9999.PSB 公安上传系统 维护费-前厅部 2017.4.1-2018.3.31</t>
  </si>
  <si>
    <t>付财务部李慧琼2017.5-2018.4月VAT税控系统服务费用报销</t>
  </si>
  <si>
    <t>2017-04-26</t>
  </si>
  <si>
    <t>付酒店2016.7.18-2017.2.12实习生管理费-银杏学院</t>
  </si>
  <si>
    <t>付2017年度薪酬福利调研报告费用-怡安翰威特</t>
  </si>
  <si>
    <t>付酒店2017.4.14-2018.4.13境外卫星电视节目费用-中视卫星</t>
  </si>
  <si>
    <t>2017-04-27</t>
  </si>
  <si>
    <t>单号0232GG0006.招牌蛋糕盒-欣厨 2017.4-9</t>
  </si>
  <si>
    <t>2017-04-30</t>
  </si>
  <si>
    <t>分摊4月PMS前台管理系统维保费</t>
  </si>
  <si>
    <t>分摊4月S&amp;C宴会销售系统维保费</t>
  </si>
  <si>
    <t>分摊4月KSI证件识别系统维保费</t>
  </si>
  <si>
    <t>分摊4月财务和固定资产管理系统维保费</t>
  </si>
  <si>
    <t>分摊4月采购资产管理系统维保费</t>
  </si>
  <si>
    <t>分摊4月PHNIX人事管理系统维保费</t>
  </si>
  <si>
    <t>分摊4月安美网关管理系统维保费</t>
  </si>
  <si>
    <t>分摊4月餐饮管理系统维保费</t>
  </si>
  <si>
    <t>4月摊销旅馆治安管理系统维保费</t>
  </si>
  <si>
    <t>4月摊销赛门铁克-杀毒软件维保费</t>
  </si>
  <si>
    <t>4月摊销深信服-朗弘科维保费</t>
  </si>
  <si>
    <t>4月摊销施耐德不间断电源-西通维保费</t>
  </si>
  <si>
    <t>4月摊销SMS软件及端口租赁、远程技术服务费用</t>
  </si>
  <si>
    <t>4月摊销客用打印（英达特）系统维保费</t>
  </si>
  <si>
    <t>4月摊销公安安检系统（国安）</t>
  </si>
  <si>
    <t>分摊4月思科网络设备-创思益信息技术维保费</t>
  </si>
  <si>
    <t>分摊4月客用AC控制器-易耐特维保费</t>
  </si>
  <si>
    <t>冲2017年1-3月石基系统维保费用</t>
  </si>
  <si>
    <t>分摊4月客房房卡（2017.4-2017.9）</t>
  </si>
  <si>
    <t>分摊4月美国商会会费-（total:5208.00 2016.10-2017.9）</t>
  </si>
  <si>
    <t>分摊4月保安服务公司可视联网报警系统服务费用（2016.05.01-2017.04.30）</t>
  </si>
  <si>
    <t>分摊4月境外卫星电视频道收视费（2016.04.14-2017.04.13）</t>
  </si>
  <si>
    <t>分摊4月酒店数字基础收视费（2017.1.1-2017.12.31）</t>
  </si>
  <si>
    <t>分摊4月美通社新闻发稿费用(2016.8-2017.7)</t>
  </si>
  <si>
    <t>分摊4月猫途鹰网企业名录-$1090.00（2016.10-2017.08）</t>
  </si>
  <si>
    <t>分摊4月欧盟商会会费 ￥15766.63(2016.11-2017.9.30)</t>
  </si>
  <si>
    <t>分摊4月常年法律顾问费用-衡平律师事务所（2016.9-2017.9）（总价：30000,6%VAT）</t>
  </si>
  <si>
    <t>分摊4月最佳东方合同续签费用-￥8094.34(2016.11.18-2018.1.17)</t>
  </si>
  <si>
    <t>分摊4月床尾巾费用（2015.06-2018.05）</t>
  </si>
  <si>
    <t>摊销4月游泳池水质监测费用-中铁二局（2016.12-2017.11）</t>
  </si>
  <si>
    <t>摊销4月先锋文化传媒广告费用（2017.1-6）</t>
  </si>
  <si>
    <t>摊销4月ABTA广告公司费用（2016.12-2017.12）</t>
  </si>
  <si>
    <t>摊销4月SMS短信费用（2017.1-12）</t>
  </si>
  <si>
    <t>摊销4月邮件群发费用-上海莴司文化（2017.1-12）</t>
  </si>
  <si>
    <t>摊销4月互诚信息技术-大众点评推广服务（2017.2-12）</t>
  </si>
  <si>
    <t>4月宴会厅领用30套制服(分摊三个月,2017.2-2017.4)</t>
  </si>
  <si>
    <t>分摊4月百洁垫-红色-公区 2017.3-5</t>
  </si>
  <si>
    <t>分摊4月微信后台搭建（2017.2.28-2018.2.27）</t>
  </si>
  <si>
    <t>分摊4月德勤MICE和CFB测试-S&amp;M （2017.2-12 ）</t>
  </si>
  <si>
    <t>分摊4月欣厨菜单封面-欣厨 （2017.3-5）</t>
  </si>
  <si>
    <t>分摊4月西餐厅菜单内页设计-欣厨 （2017.3-5）</t>
  </si>
  <si>
    <t>分摊4月份领用方巾\中巾\浴巾(2017.4-5)</t>
  </si>
  <si>
    <t>EarthCheck2017年审计费用AUD2090.00-S&amp;M （2017.3.31-2018.3.30）</t>
  </si>
  <si>
    <t>Earthcheck 年费 工程部 （ AUD4500.00，2017.3.31-2018.3.30）</t>
  </si>
  <si>
    <t>分摊4月服务指南皮套（ 2017.4-6）</t>
  </si>
  <si>
    <t>分摊4月客房Ipad安装Pressreader阅读系统(2017.4-2018.3)</t>
  </si>
  <si>
    <t>分摊4月英商年会费-市场传讯部 2017.3.16-2018.3.15</t>
  </si>
  <si>
    <t>分摊4月探索卡卡套-RB&amp;E 2017.4-12月</t>
  </si>
  <si>
    <t>分摊4月无线电台2017年检验照费用支付-工程部</t>
  </si>
  <si>
    <t>2016.7.18-2017.2.12实习生管理费-银杏学院(2017.4-12)</t>
  </si>
  <si>
    <t>2017年度薪酬福利调研报告费用-怡安翰威特(2017.4-12)</t>
  </si>
  <si>
    <t>招牌蛋糕盒-欣厨 2017.4-9</t>
  </si>
  <si>
    <t>化妆垫布-客房部2017.6月</t>
  </si>
  <si>
    <t>税控系统2017年年度服务费全额抵减税额</t>
  </si>
  <si>
    <t>201705</t>
  </si>
  <si>
    <t>2017-05-16</t>
  </si>
  <si>
    <t>单号0128OS0029.配电房外包服务-工程部 2017.5-10</t>
  </si>
  <si>
    <t>2017-05-17</t>
  </si>
  <si>
    <t>单号0135OT9999.PrintON 宾客自助打印维护费-IT,2017.5.11-2018.4.10</t>
  </si>
  <si>
    <t>2017-05-19</t>
  </si>
  <si>
    <t>单号0169GG0006.服务指南内页-Sleep Well菜单-送餐部 2017.5-12月</t>
  </si>
  <si>
    <t>单号0170GG0006.服务指南内页-送餐部 2017.5-12月</t>
  </si>
  <si>
    <t>单号0171GG0006.迷你吧价目表-送餐部 2017.5-12月</t>
  </si>
  <si>
    <t>2017-05-22</t>
  </si>
  <si>
    <t>付酒店4月外墙清洗及3F石材清洗费用-恒义（5-6）月分摊部分</t>
  </si>
  <si>
    <t>2017-05-24</t>
  </si>
  <si>
    <t>付酒店2016年所得税汇算清缴报告咨询费（5-12月）-中汇</t>
  </si>
  <si>
    <t>单号0189GG0001.经典佳印 高白 A4 80g (2500张一箱）-前厅部 5-12月</t>
  </si>
  <si>
    <t>付销售部加入ABC Global会员费用2017.3.16-12.31</t>
  </si>
  <si>
    <t>2017-05-25</t>
  </si>
  <si>
    <t>单号0192GG0006.酒店简介-中英文各300份 上海出差分发传单 销售部 5-6月</t>
  </si>
  <si>
    <t>单号0197GG0015.钢丝棉-公区 5-7月</t>
  </si>
  <si>
    <t>2017-05-27</t>
  </si>
  <si>
    <t>付酒店2017.5.1-2018.4.30联网报警安保服务费-保安服务公司</t>
  </si>
  <si>
    <t>2017-05-31</t>
  </si>
  <si>
    <t>调整购入深信服防火墙（2017.4.28-2018.4.27）</t>
  </si>
  <si>
    <t>分摊5月PMS前台管理系统维保费</t>
  </si>
  <si>
    <t>分摊5月S&amp;C宴会销售系统维保费</t>
  </si>
  <si>
    <t>分摊5月KSI证件识别系统维保费</t>
  </si>
  <si>
    <t>分摊5月财务和固定资产管理系统维保费</t>
  </si>
  <si>
    <t>分摊5月采购资产管理系统维保费</t>
  </si>
  <si>
    <t>分摊5月PHNIX人事管理系统维保费</t>
  </si>
  <si>
    <t>分摊5月安美网关管理系统维保费</t>
  </si>
  <si>
    <t>分摊5月餐饮管理系统维保费</t>
  </si>
  <si>
    <t>5月摊销旅馆治安管理系统维保费</t>
  </si>
  <si>
    <t>5月摊销赛门铁克-杀毒软件维保费</t>
  </si>
  <si>
    <t>5月摊销深信服-奥华维保费</t>
  </si>
  <si>
    <t>5月摊销深信服防火墙费用-奥华</t>
  </si>
  <si>
    <t>5月摊销施耐德不间断电源-西通维保费</t>
  </si>
  <si>
    <t>5月摊销SMS软件及端口租赁、远程技术服务费用</t>
  </si>
  <si>
    <t>5月摊销客用打印（英达特）系统维保费</t>
  </si>
  <si>
    <t>5月摊销公安安检系统（国安）</t>
  </si>
  <si>
    <t>分摊5月思科网络设备-创思益信息技术维保费</t>
  </si>
  <si>
    <t>分摊5月客用AC控制器-易耐特维保费</t>
  </si>
  <si>
    <t>分摊5月客房房卡（2017.4-2017.9）</t>
  </si>
  <si>
    <t>分摊5月美国商会会费-（total:5208.00 2016.10-2017.9）</t>
  </si>
  <si>
    <t>分摊5月境外卫星电视节目费用（2017.4.14-2018.4.13）</t>
  </si>
  <si>
    <t>分摊5月酒店数字基础收视费（2017.1.1-2017.12.31）</t>
  </si>
  <si>
    <t>分摊5月美通社新闻发稿费用(2016.8-2017.7)</t>
  </si>
  <si>
    <t>分摊5月猫途鹰网企业名录-$1090.00（2016.10-2017.08）</t>
  </si>
  <si>
    <t>分摊5月欧盟商会会费 ￥15766.63(2016.11-2017.9.30)</t>
  </si>
  <si>
    <t>分摊5月常年法律顾问费用-衡平律师事务所（2016.9-2017.9）（总价：30000,6%VAT）</t>
  </si>
  <si>
    <t>分摊5月最佳东方合同续签费用-￥8094.34(2016.11.18-2018.1.17)</t>
  </si>
  <si>
    <t>分摊5月床尾巾费用（2015.06-2018.05）</t>
  </si>
  <si>
    <t>摊销5月游泳池水质监测费用-中铁二局（2016.12-2017.11）</t>
  </si>
  <si>
    <t>摊销5月先锋文化传媒广告费用（2017.1-6）</t>
  </si>
  <si>
    <t>摊销5月ABTA广告公司费用（2016.12-2017.12）</t>
  </si>
  <si>
    <t>摊销5月SMS短信费用（2017.1-12）</t>
  </si>
  <si>
    <t>摊销5月邮件群发费用-上海莴司文化（2017.1-12）</t>
  </si>
  <si>
    <t>摊销5月互诚信息技术-大众点评推广服务（2017.2-12）</t>
  </si>
  <si>
    <t>分摊5月百洁垫-红色-公区 2017.3-5</t>
  </si>
  <si>
    <t>分摊5月微信后台搭建（2017.2.28-2018.2.27）</t>
  </si>
  <si>
    <t>分摊5月德勤MICE和CFB测试-S&amp;M （2017.2-12 ）</t>
  </si>
  <si>
    <t>分摊5月欣厨菜单封面-欣厨 （2017.3-5）</t>
  </si>
  <si>
    <t>分摊5月西餐厅菜单内页设计-欣厨 （2017.3-5）</t>
  </si>
  <si>
    <t>分摊5月份领用方巾\中巾\浴巾(2017.4-5)</t>
  </si>
  <si>
    <t>Earthcheck 年费（ AUD4500.00，2017.3.31-2018.3.30）</t>
  </si>
  <si>
    <t>分摊5月服务指南皮套（ 2017.4-6）</t>
  </si>
  <si>
    <t>分摊5月客房Ipad安装Pressreader阅读系统(2017.4-2018.3)</t>
  </si>
  <si>
    <t>分摊5月英商年会费-市场传讯部 2017.3.16-2018.3.15</t>
  </si>
  <si>
    <t>分摊5月探索卡卡套-RB&amp;E 2017.4-12月</t>
  </si>
  <si>
    <t>分摊5月无线电台2017年检验照费用支付-工程部</t>
  </si>
  <si>
    <t>分摊5月配电房外包服务-（2017.5-10）</t>
  </si>
  <si>
    <t>分摊5月服务指南内页-Sleep Well菜单-送餐部 （2017.5-12）</t>
  </si>
  <si>
    <t>分摊5月服务指南内页-送餐部 （2017.5-12）</t>
  </si>
  <si>
    <t>分摊5月迷你吧价目表-送餐部 2017.5-12月</t>
  </si>
  <si>
    <t>分摊酒店4月外墙清洗及3F石材清洗费用-恒义（5-6）</t>
  </si>
  <si>
    <t>分摊5月中汇涉税鉴证业务费用-2016年税务</t>
  </si>
  <si>
    <t>分摊5月前厅部购买经典佳印复印纸费用（2017.5-12）</t>
  </si>
  <si>
    <t>5月分摊加入ABC Global会员费用2017.3.16-12.31</t>
  </si>
  <si>
    <t>5月分摊上海出差传单-酒店简介（2017.5-6）</t>
  </si>
  <si>
    <t>5月分摊公区钢丝棉</t>
  </si>
  <si>
    <t>5月分摊联网报警安保服务费（2017.5-4）</t>
  </si>
  <si>
    <t>201706</t>
  </si>
  <si>
    <t>2017-06-02</t>
  </si>
  <si>
    <t>单号0023OT9999.FCS Unicorm Voice Mail e-Connect iGuest Maintenance-三力网络各系统维保费2017.6.1-2018.4.14</t>
  </si>
  <si>
    <t>2017-06-05</t>
  </si>
  <si>
    <t>单号0059GG0006.宴会菜单封面-宴会厅2017.6-12月</t>
  </si>
  <si>
    <t>单号0059GG0006.宴会单页菜单-宴会厅2017.6-12月</t>
  </si>
  <si>
    <t>2017-06-12</t>
  </si>
  <si>
    <t>单号0108OT9999.赛门铁克杀毒软件许可证-IT 2017.5.24-2018.5.23 17% 总价4000.00</t>
  </si>
  <si>
    <t>2017-06-13</t>
  </si>
  <si>
    <t>单号0134GG0020.台灯(2017-2018生日礼物)-人事部2017.6-2017.11</t>
  </si>
  <si>
    <t>单号0138OT9999.VingCard门锁系统维护费-2017.6.1-2018.4.30</t>
  </si>
  <si>
    <t>2017-06-14</t>
  </si>
  <si>
    <t>单号0154OS0022.二次供水水箱清洗及检测-ENG 到2017.8.3</t>
  </si>
  <si>
    <t>2017-06-19</t>
  </si>
  <si>
    <t>单号0181GG0015.钢丝棉-公区 2017.6-8月</t>
  </si>
  <si>
    <t>2017-06-23</t>
  </si>
  <si>
    <t>单号0243OT0062.DXC创意陶瓷盘-西厨房2017.6-12月</t>
  </si>
  <si>
    <t>单号0244OT0062.不锈钢锥形水桶 加厚-西厨房2017.6-12月</t>
  </si>
  <si>
    <t>单号0244OT0062.复古创意欧式陶瓷盘-西厨房2017.6-12月</t>
  </si>
  <si>
    <t>单号0244OT0062.ijar日式陶瓷西餐盘-西厨房2017.6-12月</t>
  </si>
  <si>
    <t>单号0255GG0006.总经理欢迎卡信封-行政办2017.6-11月</t>
  </si>
  <si>
    <t>单号0255GG0006.总经理欢迎卡-行政办2017.6-11月</t>
  </si>
  <si>
    <t>2017-06-30</t>
  </si>
  <si>
    <t>口布 (52*54cm,白色全棉) 60150049#0069(201706)</t>
  </si>
  <si>
    <t>分摊6月PMS前台管理系统维保费</t>
  </si>
  <si>
    <t>分摊6月S&amp;C宴会销售系统维保费</t>
  </si>
  <si>
    <t>分摊6月KSI证件识别系统维保费</t>
  </si>
  <si>
    <t>分摊6月财务和固定资产管理系统维保费</t>
  </si>
  <si>
    <t>分摊6月采购资产管理系统维保费</t>
  </si>
  <si>
    <t>分摊6月PHNIX人事管理系统维保费</t>
  </si>
  <si>
    <t>分摊6月安美网关管理系统维保费</t>
  </si>
  <si>
    <t>分摊6月餐饮管理系统维保费</t>
  </si>
  <si>
    <t>6月摊销旅馆治安管理系统维保费</t>
  </si>
  <si>
    <t>6月摊销赛门铁克-杀毒软件维保费</t>
  </si>
  <si>
    <t>6月摊销赛门铁克-杀毒软件费用(新购买十个点位)</t>
  </si>
  <si>
    <t>6月摊销深信服-奥华维保费</t>
  </si>
  <si>
    <t>6月摊销深信服防火墙费用-奥华</t>
  </si>
  <si>
    <t>6月摊销施耐德不间断电源-西通维保费</t>
  </si>
  <si>
    <t>6月摊销SMS软件及端口租赁、远程技术服务费用</t>
  </si>
  <si>
    <t>6月摊销客用打印（英达特）系统维保费</t>
  </si>
  <si>
    <t>6月摊销公安安检系统（国安）</t>
  </si>
  <si>
    <t>分摊6月思科网络设备-创思益信息技术维保费</t>
  </si>
  <si>
    <t>分摊6月客用AC控制器-易耐特维保费</t>
  </si>
  <si>
    <t>分摊6月FCS系统费用（语音计费、语音信箱、ECONNECT、I-Guest）</t>
  </si>
  <si>
    <t>分摊6月门锁系统（VingCard System)维保费用</t>
  </si>
  <si>
    <t>宴会厅领用制服费用（2017.7-8）</t>
  </si>
  <si>
    <t>保安部领用制服费用（2017.7-8）</t>
  </si>
  <si>
    <t>中厨房领用制服费用（2017.7-8）</t>
  </si>
  <si>
    <t>西厨房领用制服费用（2017.7-8）</t>
  </si>
  <si>
    <t>西餐厅领用制服费用（2017.7-8）</t>
  </si>
  <si>
    <t>房务部领用制服费用（2017.7-8）</t>
  </si>
  <si>
    <t>分摊6月客房房卡（2017.4-2017.9）</t>
  </si>
  <si>
    <t>分摊6月美国商会会费-（total:5208.00 2016.10-2017.9）</t>
  </si>
  <si>
    <t>分摊6月境外卫星电视节目费用（2017.4.14-2018.4.13）</t>
  </si>
  <si>
    <t>分摊6月酒店数字基础收视费（2017.1.1-2017.12.31）</t>
  </si>
  <si>
    <t>分摊6月美通社新闻发稿费用(2016.8-2017.7)</t>
  </si>
  <si>
    <t>分摊6月猫途鹰网企业名录-$1090.00（2016.10-2017.08）</t>
  </si>
  <si>
    <t>分摊6月欧盟商会会费 ￥15766.63(2016.11-2017.9.30)</t>
  </si>
  <si>
    <t>分摊6月常年法律顾问费用-衡平律师事务所（2016.9-2017.9）（总价：30000,6%VAT）</t>
  </si>
  <si>
    <t>分摊6月最佳东方合同续签费用-￥8094.34(2016.11.18-2018.1.17)</t>
  </si>
  <si>
    <t>分摊6月床尾巾费用（2015.06-2018.05）</t>
  </si>
  <si>
    <t>摊销6月游泳池水质监测费用-中铁二局（2016.12-2017.11）</t>
  </si>
  <si>
    <t>摊销6月先锋文化传媒广告费用（2017.1-6）</t>
  </si>
  <si>
    <t>摊销6月ABTA广告公司费用（2016.12-2017.12）</t>
  </si>
  <si>
    <t>摊销6月SMS短信费用（2017.1-12）</t>
  </si>
  <si>
    <t>摊销6月邮件群发费用-上海莴司文化（2017.1-12）</t>
  </si>
  <si>
    <t>摊销6月互诚信息技术-大众点评推广服务（2017.2-12）</t>
  </si>
  <si>
    <t>分摊6月微信后台搭建（2017.2.28-2018.2.27）</t>
  </si>
  <si>
    <t>分摊6月德勤MICE和CFB测试-S&amp;M （2017.2-12 ）</t>
  </si>
  <si>
    <t>分摊6月服务指南皮套（ 2017.4-6）</t>
  </si>
  <si>
    <t>分摊6月客房Ipad安装Pressreader阅读系统(2017.4-2018.3)</t>
  </si>
  <si>
    <t>分摊6月英商年会费-市场传讯部 2017.3.16-2018.3.15</t>
  </si>
  <si>
    <t>分摊6月探索卡卡套-RB&amp;E 2017.4-12月</t>
  </si>
  <si>
    <t>分摊6月无线电台2017年检验照费用支付-工程部</t>
  </si>
  <si>
    <t>分摊6月配电房外包服务-（2017.5-10）</t>
  </si>
  <si>
    <t>分摊6月服务指南内页-Sleep Well菜单-送餐部 （2017.5-12）</t>
  </si>
  <si>
    <t>分摊6月服务指南内页-送餐部 （2017.5-12）</t>
  </si>
  <si>
    <t>分摊6月迷你吧价目表-送餐部 2017.5-12月</t>
  </si>
  <si>
    <t>分摊6月中汇涉税鉴证业务费用-2016年税务</t>
  </si>
  <si>
    <t>分摊6月前厅部购买经典佳印复印纸费用（2017.5-12）</t>
  </si>
  <si>
    <t>6月分摊加入ABC Global会员费用2017.3.16-12.31</t>
  </si>
  <si>
    <t>6月分摊上海出差传单-酒店简介（2017.5-6）</t>
  </si>
  <si>
    <t>6月分摊公区钢丝棉</t>
  </si>
  <si>
    <t>6月分摊联网报警安保服务费（2017.5-4）</t>
  </si>
  <si>
    <t>6月分摊宴会菜单封面-宴会厅2017.6-12月</t>
  </si>
  <si>
    <t>6月分摊宴会单页菜单-宴会厅2017.6-12月</t>
  </si>
  <si>
    <t>6月分摊二次供水水箱清洗及检测-ENG 到2017.8.3</t>
  </si>
  <si>
    <t>6月分摊钢丝棉-公区 2017.6-8月</t>
  </si>
  <si>
    <t>6月分摊DXC创意陶瓷盘-西厨房2017.6-12月</t>
  </si>
  <si>
    <t>6月分摊不锈钢锥形水桶 加厚-西厨房2017.6-12月</t>
  </si>
  <si>
    <t>6月分摊复古创意欧式陶瓷盘-西厨房2017.6-12月</t>
  </si>
  <si>
    <t>6月分摊ijar日式陶瓷西餐盘-西厨房2017.6-12月</t>
  </si>
  <si>
    <t>6月分摊总经理欢迎卡信封-行政办2017.6-11月</t>
  </si>
  <si>
    <t>6月分摊总经理欢迎卡-行政办2017.6-11月</t>
  </si>
  <si>
    <t>6月分摊台灯(2017-2018生日礼物)-人事部2017.6-11</t>
  </si>
  <si>
    <t>6月分摊口布 (52*54cm,白色全棉)(2017.6-12)</t>
  </si>
  <si>
    <t>201707</t>
  </si>
  <si>
    <t>2017-07-03</t>
  </si>
  <si>
    <t>单号0019GG0006.酒店简介宣传册-销售部 2017.7-8月</t>
  </si>
  <si>
    <t>2017-07-05</t>
  </si>
  <si>
    <t>单号0075OS0011.白色长方形台布（小）-宴会厅2017年7-12月</t>
  </si>
  <si>
    <t>2017-07-11</t>
  </si>
  <si>
    <t>单号0129OT0065.衣架(西服）-楼层2017年9-10月</t>
  </si>
  <si>
    <t>单号0129OT0065.衣架(女士）-楼层2017年9-10月</t>
  </si>
  <si>
    <t>2017-07-12</t>
  </si>
  <si>
    <t>单号0140GG0004.苹果充电器-楼层2017.10至12月</t>
  </si>
  <si>
    <t>2017-07-18</t>
  </si>
  <si>
    <t>单号0176OT0058.草皮-8楼茵园礼堂，宴会，2017年7-12月</t>
  </si>
  <si>
    <t>2017-07-19</t>
  </si>
  <si>
    <t>单号0181OT9999.杯子, 透明玻璃 (18 厘升)-西厨房2017.7-12月</t>
  </si>
  <si>
    <t>单号0181OT9999.思纳达 餐桌转盘, 实木(39 厘米)-西厨房2017.7-12月</t>
  </si>
  <si>
    <t>单号0181OT9999.IKEA 365+ 碗, 直线型 白色-西厨房2017.7-12月</t>
  </si>
  <si>
    <t>单号0181OT9999.斯盖恩 上菜盘, 白色-西厨房2017.7-12月</t>
  </si>
  <si>
    <t>单号0181OT9999.斯盖恩 上菜用碗, 白色-西厨房2017.7-12月</t>
  </si>
  <si>
    <t>单号0182OT9999.考肯附盖罐（透明玻璃,2公升，瘦长）-西厨房2017.7-12月</t>
  </si>
  <si>
    <t>单号0182OT9999.考肯附盖罐（透明玻璃,1.8公升，大）-西厨房2017.7-12月</t>
  </si>
  <si>
    <t>单号0182OT9999.考肯附盖罐（透明玻璃,1公升，中）-西厨房2017.7-12月</t>
  </si>
  <si>
    <t>单号0182OT9999.斯科拉托盘（桦木,44cm）-西厨房2017.7-12月</t>
  </si>
  <si>
    <t>单号0182OT9999.贝加利花瓶（透明玻璃，29cm，大)-西厨房2017.7-12月</t>
  </si>
  <si>
    <t>单号0182OT9999.贝加利花瓶（透明玻璃，18cm ，小)-西厨房2017.7-12月</t>
  </si>
  <si>
    <t>2017-07-21</t>
  </si>
  <si>
    <t>单号0210GG0028.懒人沙发椅-八楼休息室员工使用-人事部 2017.7-12月</t>
  </si>
  <si>
    <t>2017-07-25</t>
  </si>
  <si>
    <t>单号0208OT9999.百望VAT网络版开票系统维护费-2017.6.1-2018.5.31</t>
  </si>
  <si>
    <t>单号0237OS0028.水晶橡胶板-7楼后勤走道墙面保护 工程部 2017.8月</t>
  </si>
  <si>
    <t>单号0238GG0006.祝福卡-前厅部欢迎大使用 2017.7-12月</t>
  </si>
  <si>
    <t>单号0238GG0006.总经理欢迎卡信封-前厅部欢迎大使用 2017.7-12月</t>
  </si>
  <si>
    <t>2017-07-26</t>
  </si>
  <si>
    <t>单号0243GG0032.TEDx 尼依格罗艺术与演说系列宣传画册-市场传讯部 2017.7-11月</t>
  </si>
  <si>
    <t>2017-07-27</t>
  </si>
  <si>
    <t>单号0267OT0083.背景板一（带桁架）-Car2share-市场传讯部 2017.7-12月</t>
  </si>
  <si>
    <t>单号0268OT0083.背景板一（带桁架）TEDx及after party-市场传讯部 2017.7-12月</t>
  </si>
  <si>
    <t>2017-07-28</t>
  </si>
  <si>
    <t>客房楼层走廊地毯Corridor carpet(floor)-50130018#0163(201707)</t>
  </si>
  <si>
    <t>LED灯LED Lamp-50400079#0163(201707)</t>
  </si>
  <si>
    <t>2017-07-31</t>
  </si>
  <si>
    <t>宴会厅7月领用展示盘（黄色、银色、红色）（2017.7-2017.12）</t>
  </si>
  <si>
    <t>小号时来运转-管事部</t>
  </si>
  <si>
    <t>分摊7月PMS前台管理系统维保费</t>
  </si>
  <si>
    <t>分摊7月S&amp;C宴会销售系统维保费</t>
  </si>
  <si>
    <t>分摊7月KSI证件识别系统维保费</t>
  </si>
  <si>
    <t>分摊7月财务和固定资产管理系统维保费</t>
  </si>
  <si>
    <t>分摊7月采购资产管理系统维保费</t>
  </si>
  <si>
    <t>分摊7月PHNIX人事管理系统维保费</t>
  </si>
  <si>
    <t>分摊7月安美网关管理系统维保费</t>
  </si>
  <si>
    <t>分摊7月餐饮管理系统维保费</t>
  </si>
  <si>
    <t>7月摊销旅馆治安管理系统维保费</t>
  </si>
  <si>
    <t>7月摊销赛门铁克-杀毒软件维保费</t>
  </si>
  <si>
    <t>7月摊销赛门铁克-杀毒软件费用(新购买十个点位)</t>
  </si>
  <si>
    <t>7月摊销深信服-奥华维保费</t>
  </si>
  <si>
    <t>7月摊销深信服防火墙费用-奥华</t>
  </si>
  <si>
    <t>7月摊销施耐德不间断电源-西通维保费</t>
  </si>
  <si>
    <t>7月摊销SMS软件及端口租赁、远程技术服务费用</t>
  </si>
  <si>
    <t>7月摊销客用打印（英达特）系统维保费</t>
  </si>
  <si>
    <t>7月摊销公安安检系统（国安）</t>
  </si>
  <si>
    <t>分摊7月思科网络设备-创思益信息技术维保费</t>
  </si>
  <si>
    <t>分摊7月客用AC控制器-易耐特维保费</t>
  </si>
  <si>
    <t>分摊7月FCS系统费用（语音计费、语音信箱、ECONNECT、I-Guest）</t>
  </si>
  <si>
    <t>分摊7月门锁系统（VingCard System)维保费用</t>
  </si>
  <si>
    <t>分摊6、7月百望VAT网络版开票系统维护费</t>
  </si>
  <si>
    <t>7月领用冬装制服、夏装外套（2017.8-12）</t>
  </si>
  <si>
    <t>客用烟灰缸-10月</t>
  </si>
  <si>
    <t>分摊7月客房房卡（2017.4-2017.9）</t>
  </si>
  <si>
    <t>分摊7月美国商会会费-（total:5208.00 2016.10-2017.9）</t>
  </si>
  <si>
    <t>分摊7月境外卫星电视节目费用（2017.4.14-2018.4.13）</t>
  </si>
  <si>
    <t>分摊7月酒店数字基础收视费（2017.1.1-2017.12.31）</t>
  </si>
  <si>
    <t>分摊7月美通社新闻发稿费用(2016.8-2017.7)</t>
  </si>
  <si>
    <t>分摊7月猫途鹰网企业名录-$1090.00（2016.10-2017.08）</t>
  </si>
  <si>
    <t>分摊7月欧盟商会会费 ￥15766.63(2016.11-2017.9.30)</t>
  </si>
  <si>
    <t>分摊7月常年法律顾问费用-衡平律师事务所（2016.9-2017.9）（总价：30000,6%VAT）</t>
  </si>
  <si>
    <t>分摊7月最佳东方合同续签费用-￥8094.34(2016.11.18-2018.1.17)</t>
  </si>
  <si>
    <t>分摊7月床尾巾费用（2015.06-2017）</t>
  </si>
  <si>
    <t>摊销7月游泳池水质监测费用-中铁二局（2016.12-2017.11）</t>
  </si>
  <si>
    <t>摊销7月ABTA广告公司费用（2016.12-2017.12）</t>
  </si>
  <si>
    <t>摊销7月SMS短信费用（2017.1-12）</t>
  </si>
  <si>
    <t>摊销7月邮件群发费用-上海莴司文化（2017.1-12）</t>
  </si>
  <si>
    <t>摊销7月互诚信息技术-大众点评推广服务（2017.2-12）</t>
  </si>
  <si>
    <t>分摊7月微信后台搭建（2017.2.28-2018.2.27）</t>
  </si>
  <si>
    <t>分摊7月德勤MICE和CFB测试-S&amp;M （2017.2-12 ）</t>
  </si>
  <si>
    <t>分摊7月客房Ipad安装Pressreader阅读系统(2017.4-2018.3)</t>
  </si>
  <si>
    <t>分摊7月英商年会费-市场传讯部 2017.3.16-2018.3.15</t>
  </si>
  <si>
    <t>分摊7月探索卡卡套-RB&amp;E 2017.4-12月</t>
  </si>
  <si>
    <t>分摊7月无线电台2017年检验照费用支付-工程部</t>
  </si>
  <si>
    <t>分摊7月配电房外包服务-（2017.5-10）</t>
  </si>
  <si>
    <t>分摊7月服务指南内页-Sleep Well菜单-送餐部 （2017.5-12）</t>
  </si>
  <si>
    <t>分摊7月服务指南内页-送餐部 （2017.5-12）</t>
  </si>
  <si>
    <t>分摊7月迷你吧价目表-送餐部 2017.5-12月</t>
  </si>
  <si>
    <t>分摊7月中汇涉税鉴证业务费用-2016年税务</t>
  </si>
  <si>
    <t>分摊7月前厅部购买经典佳印复印纸费用（2017.5-12）</t>
  </si>
  <si>
    <t>7月分摊加入ABC Global会员费用2017.3.16-12.31</t>
  </si>
  <si>
    <t>7月分摊公区钢丝棉</t>
  </si>
  <si>
    <t>7月分摊联网报警安保服务费（2017.5-4）</t>
  </si>
  <si>
    <t>7月分摊宴会菜单封面-宴会厅2017.6-12月</t>
  </si>
  <si>
    <t>7月分摊宴会单页菜单-宴会厅2017.6-12月</t>
  </si>
  <si>
    <t>7月分摊二次供水水箱清洗及检测-ENG 到2017.8.3</t>
  </si>
  <si>
    <t>7月分摊钢丝棉-公区 2017.6-8月</t>
  </si>
  <si>
    <t>7月分摊DXC创意陶瓷盘-西厨房2017.6-12月</t>
  </si>
  <si>
    <t>7月分摊不锈钢锥形水桶 加厚-西厨房2017.6-12月</t>
  </si>
  <si>
    <t>7月分摊复古创意欧式陶瓷盘-西厨房2017.6-12月</t>
  </si>
  <si>
    <t>7月分摊ijar日式陶瓷西餐盘-西厨房2017.6-12月</t>
  </si>
  <si>
    <t>7月分摊总经理欢迎卡信封-行政办2017.6-11月</t>
  </si>
  <si>
    <t>7月分摊总经理欢迎卡-行政办2017.6-11月</t>
  </si>
  <si>
    <t>7月分摊台灯(2017-2018生日礼物)-人事部2017.6-11</t>
  </si>
  <si>
    <t>7月分摊口布 (52*54cm,白色全棉)(2017.6-12)</t>
  </si>
  <si>
    <t>分摊7月宴会厅领用制服费用（2017.7-8）</t>
  </si>
  <si>
    <t>分摊7保安部领用制服费用（2017.7-8）</t>
  </si>
  <si>
    <t>分摊7中厨房领用制服费用（2017.7-8）</t>
  </si>
  <si>
    <t>分摊7西厨房领用制服费用（2017.7-8）</t>
  </si>
  <si>
    <t>分摊7西餐厅领用制服费用（2017.7-8）</t>
  </si>
  <si>
    <t>调整房务部领用制服费用</t>
  </si>
  <si>
    <t>分摊7月酒店简介宣传册-销售部 2017.7-8月</t>
  </si>
  <si>
    <t>分摊7月白色长方形台布（小）-宴会厅2017年7-12月</t>
  </si>
  <si>
    <t>分摊7月草皮-8楼茵园礼堂，宴会，2017年7-12月</t>
  </si>
  <si>
    <t>分摊7月杯子, 透明玻璃 (18 厘升)-西厨房2017.7-12月</t>
  </si>
  <si>
    <t>分摊7月思纳达 餐桌转盘, 实木(39 厘米)-西厨房2017.7-12月</t>
  </si>
  <si>
    <t>分摊7月KEA 365+ 碗, 直线型 白色-西厨房2017.7-12月</t>
  </si>
  <si>
    <t>分摊7月斯盖恩 上菜盘, 白色-西厨房2017.7-12月</t>
  </si>
  <si>
    <t>分摊7月斯盖恩 上菜用碗, 白色-西厨房2017.7-12月</t>
  </si>
  <si>
    <t>分摊7月考肯附盖罐（透明玻璃,2公升，瘦长）-西厨房2017.7-12月</t>
  </si>
  <si>
    <t>分摊7月考肯附盖罐（透明玻璃,1.8公升，大）-西厨房2017.7-12月</t>
  </si>
  <si>
    <t>分摊7月考肯附盖罐（透明玻璃,1公升，中）-西厨房2017.7-12月</t>
  </si>
  <si>
    <t>分摊7月斯科拉托盘（桦木,44cm）-西厨房2017.7-12月</t>
  </si>
  <si>
    <t>分摊7月贝加利花瓶（透明玻璃，29cm，大)-西厨房2017.7-12月</t>
  </si>
  <si>
    <t>分摊7月贝加利花瓶（透明玻璃，18cm ，小)-西厨房2017.7-12月</t>
  </si>
  <si>
    <t>分摊7月懒人沙发椅-八楼休息室员工使用-人事部 2017.7-12月</t>
  </si>
  <si>
    <t>分摊7月祝福卡-前厅部欢迎大使用 2017.7-12月</t>
  </si>
  <si>
    <t>分摊7月总经理欢迎卡信封-前厅部欢迎大使用 2017.7-12月</t>
  </si>
  <si>
    <t>分摊7月TEDx 尼依格罗艺术与演说系列宣传画册-市场传讯部 2017.7-11月</t>
  </si>
  <si>
    <t>分摊7月客房楼层走廊地毯-工程部（2017.6-12）</t>
  </si>
  <si>
    <t>分摊7月LED灯LED Lamp-工程部（2017.6-12）</t>
  </si>
  <si>
    <t>冲减6月计提客房楼层走廊地毯-工程部（2017.6-12）</t>
  </si>
  <si>
    <t>冲减6月计提LED灯</t>
  </si>
  <si>
    <t>201708</t>
  </si>
  <si>
    <t>2017-08-01</t>
  </si>
  <si>
    <t>单号0016OS0011.黑色椅套免烫-宴会厅 2017.8-12</t>
  </si>
  <si>
    <t>2017-08-03</t>
  </si>
  <si>
    <t>单号0054GG0026.月饼宣传单页-2017.10</t>
  </si>
  <si>
    <t>2017-08-04</t>
  </si>
  <si>
    <t>单号0070OS0026.IDS信息发布系统维护费-2017.8.1-2018.4.15</t>
  </si>
  <si>
    <t>2017-08-07</t>
  </si>
  <si>
    <t>单号0096OS0022.中央空调水系统清洗</t>
  </si>
  <si>
    <t>2017-08-10</t>
  </si>
  <si>
    <t>单号0126OS0004.舒适垫 （帐篷）-9月</t>
  </si>
  <si>
    <t>单号0126OS0004.保护垫（帐篷）9月</t>
  </si>
  <si>
    <t>单号0126OS0004.羽绒被（帐篷）9月</t>
  </si>
  <si>
    <t>单号0126OS0004.床单（帐篷）9月</t>
  </si>
  <si>
    <t>单号0126OS0004.被套（帐篷）9月</t>
  </si>
  <si>
    <t>单号0126OS0004.全荞麦枕9月</t>
  </si>
  <si>
    <t>2017-08-14</t>
  </si>
  <si>
    <t>单号0161OT0085.塔吉锅陶瓷砂锅珐琅铸铁锅（樱桃红/27 cm）-欣厨（2017.8-12月）</t>
  </si>
  <si>
    <t>2017-08-16</t>
  </si>
  <si>
    <t>单号0191GG0006.送餐门把手菜单-送餐部（2017.8-10月）</t>
  </si>
  <si>
    <t>单号0192GG0006.送餐门把手菜单-送餐部（2017.8-10月）</t>
  </si>
  <si>
    <t>单号0192GG0006.服务指南内页-Sleep Well菜单-送餐部2017.8-12月</t>
  </si>
  <si>
    <t>单号0194GG0006.月饼礼券-中秋</t>
  </si>
  <si>
    <t>单号0194GG0006.月饼礼券信封-中秋</t>
  </si>
  <si>
    <t>单号0196GG0006.中餐厅大菜单新内页-中餐厅（2017.8-12月）</t>
  </si>
  <si>
    <t>2017-08-17</t>
  </si>
  <si>
    <t>单号0208GG0015.白色礼仪手套-宴会2017.8-9月</t>
  </si>
  <si>
    <t>2017-08-18</t>
  </si>
  <si>
    <t>单号0219ES0019.游泳池消毒剂（科瑞德）-游泳池2017.8-10月</t>
  </si>
  <si>
    <t>2017-08-21</t>
  </si>
  <si>
    <t>单号0233GG0028.彼得潘雪松储物罐（大号）-饼房 2017.8-12</t>
  </si>
  <si>
    <t>单号0233GG0028.彼得潘雪松储物罐（小号）-饼房 2017.8-12</t>
  </si>
  <si>
    <t>单号0233GG0028.彼得潘储物小房子（大号）-饼房 2017.8-12</t>
  </si>
  <si>
    <t>单号0233GG0028.奖杯糖果罐（小）-饼房 2017.8-12</t>
  </si>
  <si>
    <t>单号0233GG0028.奖杯糖果罐（中）-饼房 2017.8-12</t>
  </si>
  <si>
    <t>单号0233GG0028.奖杯糖果罐（大）-饼房 2017.8-12</t>
  </si>
  <si>
    <t>2017-08-22</t>
  </si>
  <si>
    <t>单号0242OT0083.月饼销售柜</t>
  </si>
  <si>
    <t>单号0243ES0019.公牛插线板8插头-宴会厅（2017.8-12月）</t>
  </si>
  <si>
    <t>2017-08-23</t>
  </si>
  <si>
    <t>单号0263OT9999.除湿机（飞利浦）-京东 楼层2017.8-12月</t>
  </si>
  <si>
    <t>单号0264OT9999.飞利浦蒸汽挂烫机-京东 制服房 2017.8-12月</t>
  </si>
  <si>
    <t>2017-08-25</t>
  </si>
  <si>
    <t>单号0286GG0015.三能烘焙披萨烤盘-西厨房（2017.8-12月）</t>
  </si>
  <si>
    <t>2017-08-30</t>
  </si>
  <si>
    <t>单号0332OT0114.尼依格罗手拿包-赠送 人事部2017.8-12月</t>
  </si>
  <si>
    <t>2017-08-31</t>
  </si>
  <si>
    <t>付HRS2018.1.1-12.31注册费用-销售部</t>
  </si>
  <si>
    <t>付龙兴房产2017年保险费-8-12月（总价￥63000.61，VAT6%)</t>
  </si>
  <si>
    <t>清账：人事部赵瑞坤领音招牌网站会员升级费用借款（2017.7.5-2018.7.5）</t>
  </si>
  <si>
    <t>8月份购进茶托-管事部（待实际领用分摊）</t>
  </si>
  <si>
    <t>8月份购进新款移动保温灯-管事部（待实际领用分摊）</t>
  </si>
  <si>
    <t>分摊8月PMS前台管理系统维保费</t>
  </si>
  <si>
    <t>分摊8月S&amp;C宴会销售系统维保费</t>
  </si>
  <si>
    <t>分摊8月KSI证件识别系统维保费</t>
  </si>
  <si>
    <t>分摊8月财务和固定资产管理系统维保费</t>
  </si>
  <si>
    <t>分摊8月采购资产管理系统维保费</t>
  </si>
  <si>
    <t>分摊8月PHNIX人事管理系统维保费</t>
  </si>
  <si>
    <t>分摊8月安美网关管理系统维保费</t>
  </si>
  <si>
    <t>分摊8月餐饮管理系统维保费</t>
  </si>
  <si>
    <t>8月摊销旅馆治安管理系统维保费</t>
  </si>
  <si>
    <t>8月摊销赛门铁克-杀毒软件维保费</t>
  </si>
  <si>
    <t>8月摊销赛门铁克-杀毒软件费用(新购买十个点位)</t>
  </si>
  <si>
    <t>8月摊销深信服-奥华维保费</t>
  </si>
  <si>
    <t>8月摊销深信服防火墙费用-奥华</t>
  </si>
  <si>
    <t>8月摊销施耐德不间断电源-西通维保费</t>
  </si>
  <si>
    <t>8月摊销SMS软件及端口租赁、远程技术服务费用</t>
  </si>
  <si>
    <t>8月摊销客用打印（英达特）系统维保费</t>
  </si>
  <si>
    <t>8月摊销公安安检系统（国安）</t>
  </si>
  <si>
    <t>分摊8月思科网络设备-创思益信息技术维保费</t>
  </si>
  <si>
    <t>分摊8月客用AC控制器-易耐特维保费</t>
  </si>
  <si>
    <t>分摊8月FCS系统费用（语音计费、语音信箱、ECONNECT、I-Guest）</t>
  </si>
  <si>
    <t>分摊8月门锁系统（VingCard System)维保费用</t>
  </si>
  <si>
    <t>分摊8月百望VAT网络版开票系统维护费</t>
  </si>
  <si>
    <t>分摊8月信息发布系统维保费-创思益</t>
  </si>
  <si>
    <t>8月领用净布（单号0015S0011）-10月分摊</t>
  </si>
  <si>
    <t>分摊8月客房房卡（2017.4-2017.9）</t>
  </si>
  <si>
    <t>分摊8月美国商会会费-（total:5208.00 2016.10-2017.9）</t>
  </si>
  <si>
    <t>分摊8月境外卫星电视节目费用（2017.4.14-2018.4.13）</t>
  </si>
  <si>
    <t>分摊8月酒店数字基础收视费（2017.1.1-2017.12.31）</t>
  </si>
  <si>
    <t>分摊8月猫途鹰网企业名录-$1090.00（2016.10-2017.08）</t>
  </si>
  <si>
    <t>分摊8月欧盟商会会费 ￥15766.63(2016.11-2017.9.30)</t>
  </si>
  <si>
    <t>分摊8月常年法律顾问费用-衡平律师事务所（2016.9-2017.9）（总价：30000,6%VAT）</t>
  </si>
  <si>
    <t>分摊8月最佳东方合同续签费用-￥8094.34(2016.11.18-2018.1.17)</t>
  </si>
  <si>
    <t>分摊8月床尾巾费用（2015.06-2017）</t>
  </si>
  <si>
    <t>摊销8月游泳池水质监测费用-中铁二局（2016.12-2017.11）</t>
  </si>
  <si>
    <t>摊销8月ABTA广告公司费用（2016.12-2017.12）</t>
  </si>
  <si>
    <t>摊销8月SMS短信费用（2017.1-12）</t>
  </si>
  <si>
    <t>摊销8月邮件群发费用-上海莴司文化（2017.1-12）</t>
  </si>
  <si>
    <t>摊销8月互诚信息技术-大众点评推广服务（2017.2-12）</t>
  </si>
  <si>
    <t>分摊8月微信后台搭建（2017.2.28-2018.2.27）</t>
  </si>
  <si>
    <t>分摊8月客房Ipad安装Pressreader阅读系统(2017.4-2018.3)</t>
  </si>
  <si>
    <t>分摊8月英商年会费-市场传讯部 2017.3.16-2018.3.15</t>
  </si>
  <si>
    <t>分摊8月探索卡卡套-RB&amp;E 2017.4-12月</t>
  </si>
  <si>
    <t>分摊8月无线电台2017年检验照费用支付-工程部</t>
  </si>
  <si>
    <t>分摊8月配电房外包服务-（2017.5-10）</t>
  </si>
  <si>
    <t>分摊8月服务指南内页-Sleep Well菜单-送餐部 （2017.5-12）</t>
  </si>
  <si>
    <t>分摊8月服务指南内页-送餐部 （2017.5-12）</t>
  </si>
  <si>
    <t>分摊8月迷你吧价目表-送餐部 2017.5-12月</t>
  </si>
  <si>
    <t>分摊8月中汇涉税鉴证业务费用-2016年税务</t>
  </si>
  <si>
    <t>分摊8月前厅部购买经典佳印复印纸费用（2017.5-12）</t>
  </si>
  <si>
    <t>8月分摊加入ABC Global会员费用2017.3.16-12.31</t>
  </si>
  <si>
    <t>8月分摊联网报警安保服务费（2017.5-4）</t>
  </si>
  <si>
    <t>8月分摊宴会菜单封面-宴会厅2017.6-12月</t>
  </si>
  <si>
    <t>8月分摊宴会单页菜单-宴会厅2017.6-12月</t>
  </si>
  <si>
    <t>8月分摊钢丝棉-公区 2017.6-8月</t>
  </si>
  <si>
    <t>8月分摊DXC创意陶瓷盘-西厨房2017.6-12月</t>
  </si>
  <si>
    <t>8月分摊不锈钢锥形水桶 加厚-西厨房2017.6-12月</t>
  </si>
  <si>
    <t>8月分摊复古创意欧式陶瓷盘-西厨房2017.6-12月</t>
  </si>
  <si>
    <t>8月分摊ijar日式陶瓷西餐盘-西厨房2017.6-12月</t>
  </si>
  <si>
    <t>8月分摊总经理欢迎卡信封-行政办2017.6-11月</t>
  </si>
  <si>
    <t>8月分摊总经理欢迎卡-行政办2017.6-11月</t>
  </si>
  <si>
    <t>8月分摊台灯(2017-2018生日礼物)-人事部2017.6-11</t>
  </si>
  <si>
    <t>8月分摊口布 (52*54cm,白色全棉)(2017.6-12)</t>
  </si>
  <si>
    <t>分摊8月宴会厅领用制服费用（2017.7-8）</t>
  </si>
  <si>
    <t>分摊7月工程部领用冬装夏装制服（2017.8-12）</t>
  </si>
  <si>
    <t>分摊8月酒店简介宣传册-销售部 2017.7-8月</t>
  </si>
  <si>
    <t>分摊8月白色长方形台布（小）-宴会厅2017年7-12月</t>
  </si>
  <si>
    <t>分摊8月草皮-8楼茵园礼堂，宴会，2017年7-12月</t>
  </si>
  <si>
    <t>分摊8月杯子, 透明玻璃 (18 厘升)-西厨房2017.7-12月</t>
  </si>
  <si>
    <t>分摊8月思纳达 餐桌转盘, 实木(39 厘米)-西厨房2017.7-12月</t>
  </si>
  <si>
    <t>分摊8月KEA 365+ 碗, 直线型 白色-西厨房2017.7-12月</t>
  </si>
  <si>
    <t>分摊8月斯盖恩 上菜盘, 白色-西厨房2017.7-12月</t>
  </si>
  <si>
    <t>分摊8月斯盖恩 上菜用碗, 白色-西厨房2017.7-12月</t>
  </si>
  <si>
    <t>分摊8月考肯附盖罐（透明玻璃,2公升，瘦长）-西厨房2017.7-12月</t>
  </si>
  <si>
    <t>分摊8月考肯附盖罐（透明玻璃,1.8公升，大）-西厨房2017.7-12月</t>
  </si>
  <si>
    <t>分摊8月考肯附盖罐（透明玻璃,1公升，中）-西厨房2017.7-12月</t>
  </si>
  <si>
    <t>分摊8月斯科拉托盘（桦木,44cm）-西厨房2017.7-12月</t>
  </si>
  <si>
    <t>分摊8月贝加利花瓶（透明玻璃，29cm，大)-西厨房2017.7-12月</t>
  </si>
  <si>
    <t>分摊8月贝加利花瓶（透明玻璃，18cm ，小)-西厨房2017.7-12月</t>
  </si>
  <si>
    <t>分摊8月懒人沙发椅-八楼休息室员工使用-人事部 2017.7-12月</t>
  </si>
  <si>
    <t>分摊8月祝福卡-前厅部欢迎大使用 2017.7-12月</t>
  </si>
  <si>
    <t>分摊8月总经理欢迎卡信封-前厅部欢迎大使用 2017.7-12月</t>
  </si>
  <si>
    <t>分摊8月TEDx 尼依格罗艺术与演说系列宣传画册-市场传讯部 2017.7-11月</t>
  </si>
  <si>
    <t>分摊8月客房楼层走廊地毯-工程部（2017.6-12）</t>
  </si>
  <si>
    <t>分摊8月LED灯LED Lamp-工程部（2017.6-12）</t>
  </si>
  <si>
    <t>宴会厅8月领用展示盘（黄色、银色、红色）（2017.7-2017.12）</t>
  </si>
  <si>
    <t>分摊8月背景板一（带桁架）-Car2share-市场传讯部 2017.8-12月</t>
  </si>
  <si>
    <t>分摊8月背景板一（带桁架）TEDx及after party-市场传讯部 2017.8-12月</t>
  </si>
  <si>
    <t>分摊8月黑色椅套免烫-宴会厅 2017.8-12</t>
  </si>
  <si>
    <t>分摊8月中央空调水系统清洗（8-9）</t>
  </si>
  <si>
    <t>分摊8月塔吉锅陶瓷砂锅珐琅铸铁锅（樱桃红/27 cm）-欣厨（2017.8-12月）</t>
  </si>
  <si>
    <t>分摊8月送餐门把手菜单-送餐部（2017.8-10月）</t>
  </si>
  <si>
    <t>分摊8月服务指南内页-Sleep Well菜单-送餐部2017.8-12月</t>
  </si>
  <si>
    <t>分摊8月中餐厅大菜单新内页-中餐厅（2017.8-12月）</t>
  </si>
  <si>
    <t>分摊8月白色礼仪手套-宴会2017.8-9月</t>
  </si>
  <si>
    <t>分摊8月游泳池消毒剂（科瑞德）-游泳池2017.8-10月</t>
  </si>
  <si>
    <t>分摊8月彼得潘雪松储物罐（大号）-饼房 2017.8-12</t>
  </si>
  <si>
    <t>分摊8月彼得潘雪松储物罐（小号）-饼房 2017.8-12</t>
  </si>
  <si>
    <t>分摊8月彼得潘储物小房子（大号）-饼房 2017.8-12</t>
  </si>
  <si>
    <t>分摊8月奖杯糖果罐（小）-饼房 2017.8-12</t>
  </si>
  <si>
    <t>分摊8月奖杯糖果罐（中）-饼房 2017.8-12</t>
  </si>
  <si>
    <t>分摊8月奖杯糖果罐（大）-饼房 2017.8-12</t>
  </si>
  <si>
    <t>分摊8月公牛插线板8插头-宴会厅（2017.8-12月）</t>
  </si>
  <si>
    <t>分摊8月除湿机（飞利浦）-京东 楼层2017.8-12月</t>
  </si>
  <si>
    <t>分摊8月飞利浦蒸汽挂烫机-京东 制服房 2017.8-12月</t>
  </si>
  <si>
    <t>分摊8月三能烘焙披萨烤盘-西厨房（2017.8-12月）</t>
  </si>
  <si>
    <t>分摊8月尼依格罗手拿包-赠送 人事部2017.8-12月</t>
  </si>
  <si>
    <t>分摊8月付HRS2018.1.1-12.31注册费用-销售部</t>
  </si>
  <si>
    <t>分摊8月领音招牌网站会员升级费用（2017.7.5-2018.7.5）</t>
  </si>
  <si>
    <t>计提8月财产一切险/公众责任险/雇主责任险/现金险/雇员忠诚保证保险/机器损坏险-龙兴地产（2017.8-12）</t>
  </si>
  <si>
    <t>水晶橡胶板-7楼后勤走道墙面保护 工程部 2017.8月</t>
  </si>
  <si>
    <t>201709</t>
  </si>
  <si>
    <t>2017-09-04</t>
  </si>
  <si>
    <t>单号0001OT9999.临时物品-大堂休息区摆放书籍-2017.9-12月</t>
  </si>
  <si>
    <t>单号0007OT0106.ARUBA Access Controller 7210 Wi-Fi 控制器-易耐特2017.7.26-2018.7.25</t>
  </si>
  <si>
    <t>2017-09-07</t>
  </si>
  <si>
    <t>单号0096GG0028.塑料食品货架-西厨房 2017.9-12月</t>
  </si>
  <si>
    <t>2017-09-08</t>
  </si>
  <si>
    <t>单号0109ES0019.洁源余氯速测盒-健身中心 2017.9-12月</t>
  </si>
  <si>
    <t>单号0109ES0019.游泳池药剂-消毒氯片-健身中心 2017.9-12月</t>
  </si>
  <si>
    <t>单号0110OT0086.酒店防滑地垫-公区 2017.9-10</t>
  </si>
  <si>
    <t>2017-09-11</t>
  </si>
  <si>
    <t>单号0125OT0081.香薰蜡烛-销售部 2017.9-12月</t>
  </si>
  <si>
    <t>单号0129GG0016.施工人员证-安保部 2017.9-12月</t>
  </si>
  <si>
    <t>单号0129GG0016.布展人员证-安保部 2017.9-12月</t>
  </si>
  <si>
    <t>单号0129GG0016.应聘人员证-安保部 2017.9-12月</t>
  </si>
  <si>
    <t>单号0129GG0016.供应商证-安保部 2017.9-12月</t>
  </si>
  <si>
    <t>单号0129GG0016.访客人员证-安保部 2017.9-12月</t>
  </si>
  <si>
    <t>单号0129GG0016.帮工证-安保部 2017.9-12月</t>
  </si>
  <si>
    <t>单号0129GG0016.外来人员证件套-安保部 2017.9-12月</t>
  </si>
  <si>
    <t>单号0129GG0016.外来人员证件挂绳-安保部 2017.9-12月</t>
  </si>
  <si>
    <t>2017-09-15</t>
  </si>
  <si>
    <t>单号0176OT9999.临时物品-安保服务费 可视联网报警服务 2017.5.1-2018.4.30</t>
  </si>
  <si>
    <t>2017-09-19</t>
  </si>
  <si>
    <t>单号0201.客房平板座充（型号：F8J088bt）-客房 2017.9-12月</t>
  </si>
  <si>
    <t>单号0209OT9999.欧盟商会会费-销售部 2017.10.1-2018.9.30会员续费</t>
  </si>
  <si>
    <t>2017-09-20</t>
  </si>
  <si>
    <t>General Cashier Receipts</t>
  </si>
  <si>
    <t>赔偿3套制服</t>
  </si>
  <si>
    <t>单号0215OT0126.服务器硬件金牌服务-IT 2018.1.1-2018.12.31酒店服务器续保费用</t>
  </si>
  <si>
    <t>2017-09-21</t>
  </si>
  <si>
    <t>单号0252GG0006.轩月月饼盒（内饼盒）</t>
  </si>
  <si>
    <t>单号0254GG0006.2017欣月月饼盒</t>
  </si>
  <si>
    <t>单号0254GG0006.2017轩月月饼盒</t>
  </si>
  <si>
    <t>单号0254GG0006.2017初月月饼盒</t>
  </si>
  <si>
    <t>单号0254GG0006.2017欣月月饼手提袋</t>
  </si>
  <si>
    <t>单号0254GG0006.2017轩月月饼手提袋</t>
  </si>
  <si>
    <t>单号0254GG0006.2017初月月饼手提袋</t>
  </si>
  <si>
    <t>bag初月</t>
  </si>
  <si>
    <t>2017-09-22</t>
  </si>
  <si>
    <t>单号0259OT9999.中国移动宽带40M-2017.9.1-9.30 备用网络</t>
  </si>
  <si>
    <t>2017-09-26</t>
  </si>
  <si>
    <t>单号0295OT0062.客房水果刀-楼层 2017.10-12月</t>
  </si>
  <si>
    <t>单号0295OT0062.客房水果叉-楼层 2017.10-12月</t>
  </si>
  <si>
    <t>2017-09-27</t>
  </si>
  <si>
    <t>单号0332OT0134.工作进行中牌-PA 2017.9-12月</t>
  </si>
  <si>
    <t>单号0332OT0134.小心地滑牌-PA 2017.9-12月</t>
  </si>
  <si>
    <t>单号0332OT0134.暂停使用牌-PA 2017.9-12月</t>
  </si>
  <si>
    <t>2017-09-30</t>
  </si>
  <si>
    <t>付恒义2017年房间迷你吧大理石翻新费用（9-12月）</t>
  </si>
  <si>
    <t>付衡平2017.9.2-2018.9.1律师费（￥30000，VAT6%）</t>
  </si>
  <si>
    <t>付毕马威2016年审计费-进项税金（9-12月，￥24400，VAT6%）</t>
  </si>
  <si>
    <t>付德勤2017.8-12MICE和CFB测试-S&amp;M （USD3000，9.1汇率6.5909）</t>
  </si>
  <si>
    <t>付kiwi2017.6.2-2018.12.31基本费用及宣传费用（20%，USD935,9.1汇率6.5909）</t>
  </si>
  <si>
    <t>付lockton2017.5.5-2018.5.4高级数字业务与数据保险费（USD1148.51，9.1汇率6.5909）</t>
  </si>
  <si>
    <t>Purchasing food for Marco Polos birhday庆祝马可波罗生日采购食品(10-12分摊）2017.09</t>
  </si>
  <si>
    <t>Purchasing food for AES员工满意度调查采购食品(10-12分摊）2017.09</t>
  </si>
  <si>
    <t>WK balance the store of fruits&amp;vegetable&amp;condiment西厨分摊8月蔬菜水果干杂结存2017.09</t>
  </si>
  <si>
    <t>9月购买乳胶枕-10月</t>
  </si>
  <si>
    <t>9月领用制服费用（分摊10-12）</t>
  </si>
  <si>
    <t>9月领用女服务员制服（分摊10-12）</t>
  </si>
  <si>
    <t>分摊9月PMS前台管理系统维保费</t>
  </si>
  <si>
    <t>分摊9月S&amp;C宴会销售系统维保费</t>
  </si>
  <si>
    <t>分摊9月KSI证件识别系统维保费</t>
  </si>
  <si>
    <t>分摊9月财务和固定资产管理系统维保费</t>
  </si>
  <si>
    <t>分摊9月采购资产管理系统维保费</t>
  </si>
  <si>
    <t>分摊9月PHNIX人事管理系统维保费</t>
  </si>
  <si>
    <t>分摊9月安美网关管理系统维保费</t>
  </si>
  <si>
    <t>分摊9月餐饮管理系统维保费</t>
  </si>
  <si>
    <t>9月摊销旅馆治安管理系统维保费</t>
  </si>
  <si>
    <t>9月摊销赛门铁克-杀毒软件维保费</t>
  </si>
  <si>
    <t>9月摊销赛门铁克-杀毒软件费用(新购买十个点位)</t>
  </si>
  <si>
    <t>9月摊销深信服-奥华维保费</t>
  </si>
  <si>
    <t>9月摊销深信服防火墙费用-奥华</t>
  </si>
  <si>
    <t>9月摊销施耐德不间断电源-西通维保费</t>
  </si>
  <si>
    <t>9月摊销SMS软件及端口租赁、远程技术服务费用</t>
  </si>
  <si>
    <t>9月摊销客用打印（英达特）系统维保费</t>
  </si>
  <si>
    <t>9月摊销公安安检系统（国安）</t>
  </si>
  <si>
    <t>分摊9月思科网络设备-创思益信息技术维保费</t>
  </si>
  <si>
    <t>分摊9月客用AC控制器-易耐特维保费</t>
  </si>
  <si>
    <t>分摊9月FCS系统费用（语音计费、语音信箱、ECONNECT、I-Guest）</t>
  </si>
  <si>
    <t>分摊9月门锁系统（VingCard System)维保费用</t>
  </si>
  <si>
    <t>分摊9月百望VAT网络版开票系统维护费</t>
  </si>
  <si>
    <t>分摊9月信息发布系统维保费-创思益</t>
  </si>
  <si>
    <t>分摊9月40M网络备用线路费用-中国移动</t>
  </si>
  <si>
    <t>分摊9月网络安全保险-Lockton</t>
  </si>
  <si>
    <t>分摊9月客房房卡（2017.4-2017.9）</t>
  </si>
  <si>
    <t>分摊9月美国商会会费-（total:5208.00 2016.10-2017.9）</t>
  </si>
  <si>
    <t>分摊9月境外卫星电视节目费用（2017.4.14-2018.4.13）</t>
  </si>
  <si>
    <t>分摊9月酒店数字基础收视费（2017.1.1-2017.12.31）</t>
  </si>
  <si>
    <t>分摊9月猫途鹰网企业名录-$1090.00（2016.10-2017.08）</t>
  </si>
  <si>
    <t>分摊9月欧盟商会会费 ￥15766.63(2016.11-2017.9.30)</t>
  </si>
  <si>
    <t>分摊9月常年法律顾问费用-衡平律师事务所（2016.9-2017.9）（总价：30000,6%VAT）</t>
  </si>
  <si>
    <t>分摊9月常年法律顾问费用-衡平律师事务所（2017.9.2-2018.9.1）（总价：30000,6%VAT）</t>
  </si>
  <si>
    <t>分摊9月最佳东方合同续签费用-￥8094.34(2016.11.18-2018.1.17)</t>
  </si>
  <si>
    <t>分摊9月床尾巾费用（2015.06-2017）</t>
  </si>
  <si>
    <t>摊销9月游泳池水质监测费用-中铁二局（2016.12-2017.11）</t>
  </si>
  <si>
    <t>摊销9月ABTA广告公司费用（2016.12-2017.12）</t>
  </si>
  <si>
    <t>摊销9月SMS短信费用（2017.1-12）</t>
  </si>
  <si>
    <t>摊销9月邮件群发费用-上海莴司文化（2017.1-12）</t>
  </si>
  <si>
    <t>摊销9月互诚信息技术-大众点评推广服务（2017.2-12）</t>
  </si>
  <si>
    <t>分摊9月微信后台搭建（2017.2.28-2018.2.27）</t>
  </si>
  <si>
    <t>分摊9月客房Ipad安装Pressreader阅读系统(2017.4-2018.3)</t>
  </si>
  <si>
    <t>分摊9月英商年会费-市场传讯部 2017.3.16-2018.3.15</t>
  </si>
  <si>
    <t>分摊9月探索卡卡套-RB&amp;E 2017.4-12月</t>
  </si>
  <si>
    <t>分摊9月无线电台2017年检验照费用支付-工程部</t>
  </si>
  <si>
    <t>分摊9月配电房外包服务-（2017.5-10）</t>
  </si>
  <si>
    <t>分摊9月服务指南内页-Sleep Well菜单-送餐部 （2017.5-12）</t>
  </si>
  <si>
    <t>分摊9月服务指南内页-送餐部 （2017.5-12）</t>
  </si>
  <si>
    <t>分摊9月迷你吧价目表-送餐部 2017.5-12月</t>
  </si>
  <si>
    <t>分摊9月中汇涉税鉴证业务费用-2016年税务</t>
  </si>
  <si>
    <t>分摊9月前厅部购买经典佳印复印纸费用（2017.5-12）</t>
  </si>
  <si>
    <t>9月分摊加入ABC Global会员费用2017.3.16-12.31</t>
  </si>
  <si>
    <t>9月分摊西服衣架</t>
  </si>
  <si>
    <t>9月分摊女式衣架</t>
  </si>
  <si>
    <t>9月分摊联网报警安保服务费（2017.5-4）</t>
  </si>
  <si>
    <t>9月分摊宴会菜单封面-宴会厅2017.6-12月</t>
  </si>
  <si>
    <t>9月分摊宴会单页菜单-宴会厅2017.6-12月</t>
  </si>
  <si>
    <t>9月分摊DXC创意陶瓷盘-西厨房2017.6-12月</t>
  </si>
  <si>
    <t>9月分摊不锈钢锥形水桶 加厚-西厨房2017.6-12月</t>
  </si>
  <si>
    <t>9月分摊复古创意欧式陶瓷盘-西厨房2017.6-12月</t>
  </si>
  <si>
    <t>9月分摊ijar日式陶瓷西餐盘-西厨房2017.6-12月</t>
  </si>
  <si>
    <t>9月分摊总经理欢迎卡信封-行政办2017.6-11月</t>
  </si>
  <si>
    <t>9月分摊总经理欢迎卡-行政办2017.6-11月</t>
  </si>
  <si>
    <t>9月分摊台灯(2017-2018生日礼物)-人事部2017.6-11</t>
  </si>
  <si>
    <t>9月分摊口布 (52*54cm,白色全棉)(2017.6-12)</t>
  </si>
  <si>
    <t>分摊9月白色长方形台布（小）-宴会厅2017年7-12月</t>
  </si>
  <si>
    <t>分摊9月草皮-8楼茵园礼堂，宴会，2017年7-12月</t>
  </si>
  <si>
    <t>分摊9月杯子, 透明玻璃 (18 厘升)-西厨房2017.7-12月</t>
  </si>
  <si>
    <t>分摊9月思纳达 餐桌转盘, 实木(39 厘米)-西厨房2017.7-12月</t>
  </si>
  <si>
    <t>分摊9月KEA 365+ 碗, 直线型 白色-西厨房2017.7-12月</t>
  </si>
  <si>
    <t>分摊9月斯盖恩 上菜盘, 白色-西厨房2017.7-12月</t>
  </si>
  <si>
    <t>分摊9月斯盖恩 上菜用碗, 白色-西厨房2017.7-12月</t>
  </si>
  <si>
    <t>分摊9月考肯附盖罐（透明玻璃,2公升，瘦长）-西厨房2017.7-12月</t>
  </si>
  <si>
    <t>分摊9月考肯附盖罐（透明玻璃,1.8公升，大）-西厨房2017.7-12月</t>
  </si>
  <si>
    <t>分摊9月考肯附盖罐（透明玻璃,1公升，中）-西厨房2017.7-12月</t>
  </si>
  <si>
    <t>分摊9月斯科拉托盘（桦木,44cm）-西厨房2017.7-12月</t>
  </si>
  <si>
    <t>分摊9月贝加利花瓶（透明玻璃，29cm，大)-西厨房2017.7-12月</t>
  </si>
  <si>
    <t>分摊9月贝加利花瓶（透明玻璃，18cm ，小)-西厨房2017.7-12月</t>
  </si>
  <si>
    <t>分摊9月懒人沙发椅-八楼休息室员工使用-人事部 2017.7-12月</t>
  </si>
  <si>
    <t>分摊9月祝福卡-前厅部欢迎大使用 2017.7-12月</t>
  </si>
  <si>
    <t>分摊9月总经理欢迎卡信封-前厅部欢迎大使用 2017.7-12月</t>
  </si>
  <si>
    <t>分摊9月TEDx 尼依格罗艺术与演说系列宣传画册-市场传讯部 2017.7-11月</t>
  </si>
  <si>
    <t>分摊9月客房楼层走廊地毯-工程部（2017.6-12）</t>
  </si>
  <si>
    <t>分摊9月LED灯LED Lamp-工程部（2017.6-12）</t>
  </si>
  <si>
    <t>宴会厅9月领用展示盘（黄色、银色、红色）（2017.7-2017.12）</t>
  </si>
  <si>
    <t>分摊9月背景板一（带桁架）-Car2share-市场传讯部 2017.8-12月</t>
  </si>
  <si>
    <t>分摊9月背景板一（带桁架）TEDx及after party-市场传讯部 2017.8-12月</t>
  </si>
  <si>
    <t>分摊9月黑色椅套免烫-宴会厅 2017.8-12</t>
  </si>
  <si>
    <t>分摊9月中央空调水系统清洗（8-9）</t>
  </si>
  <si>
    <t>分摊9月塔吉锅陶瓷砂锅珐琅铸铁锅（樱桃红/27 cm）-欣厨（2017.8-12月）</t>
  </si>
  <si>
    <t>分摊9月送餐门把手菜单-送餐部（2017.8-10月）</t>
  </si>
  <si>
    <t>分摊9月服务指南内页-Sleep Well菜单-送餐部2017.8-12月</t>
  </si>
  <si>
    <t>分摊9月中餐厅大菜单新内页-中餐厅（2017.8-12月）</t>
  </si>
  <si>
    <t>分摊9月白色礼仪手套-宴会2017.8-9月</t>
  </si>
  <si>
    <t>分摊9月游泳池消毒剂（科瑞德）-游泳池2017.8-10月</t>
  </si>
  <si>
    <t>分摊9月彼得潘雪松储物罐（大号）-饼房 2017.8-12</t>
  </si>
  <si>
    <t>分摊9月彼得潘雪松储物罐（小号）-饼房 2017.8-12</t>
  </si>
  <si>
    <t>分摊9月彼得潘储物小房子（大号）-饼房 2017.8-12</t>
  </si>
  <si>
    <t>分摊9月奖杯糖果罐（小）-饼房 2017.8-12</t>
  </si>
  <si>
    <t>分摊9月奖杯糖果罐（中）-饼房 2017.8-12</t>
  </si>
  <si>
    <t>分摊9月奖杯糖果罐（大）-饼房 2017.8-12</t>
  </si>
  <si>
    <t>分摊9月公牛插线板8插头-宴会厅（2017.8-12月）</t>
  </si>
  <si>
    <t>分摊9月除湿机（飞利浦）-京东 楼层2017.8-12月</t>
  </si>
  <si>
    <t>分摊9月飞利浦蒸汽挂烫机-京东 制服房 2017.8-12月</t>
  </si>
  <si>
    <t>分摊9月三能烘焙披萨烤盘-西厨房（2017.8-12月）</t>
  </si>
  <si>
    <t>分摊9月尼依格罗手拿包-赠送 人事部2017.8-12月</t>
  </si>
  <si>
    <t>分摊9月付HRS2018.1.1-12.31注册费用-销售部</t>
  </si>
  <si>
    <t>分摊9月领音招牌网站会员升级费用（2017.7.5-2018.7.5）</t>
  </si>
  <si>
    <t>计提9月财产一切险/公众责任险/雇主责任险/现金险/雇员忠诚保证保险/机器损坏险-龙兴地产（2017.8-12）</t>
  </si>
  <si>
    <t>9月分摊大堂休息区摆放书籍-2017.9-12月</t>
  </si>
  <si>
    <t>9月分摊塑料食品货架-西厨房 2017.9-12月</t>
  </si>
  <si>
    <t>9月分摊洁源余氯速测盒-健身中心 2017.9-12月</t>
  </si>
  <si>
    <t>9月分摊游泳池药剂-消毒氯片-健身中心 2017.9-12月</t>
  </si>
  <si>
    <t>9月分摊酒店防滑地垫-公区 2017.9-10</t>
  </si>
  <si>
    <t>9月分摊香薰蜡烛-销售部 2017.9-12月</t>
  </si>
  <si>
    <t>9月分摊施工人员证-安保部 2017.9-12月</t>
  </si>
  <si>
    <t>9月分摊布展人员证-安保部 2017.9-12月</t>
  </si>
  <si>
    <t>9月分摊应聘人员证-安保部 2017.9-12月</t>
  </si>
  <si>
    <t>9月分摊供应商证-安保部 2017.9-12月</t>
  </si>
  <si>
    <t>9月分摊访客人员证-安保部 2017.9-12月</t>
  </si>
  <si>
    <t>9月分摊帮工证-安保部 2017.9-12月</t>
  </si>
  <si>
    <t>9月分摊外来人员证件套-安保部 2017.9-12月</t>
  </si>
  <si>
    <t>9月分摊外来人员证件挂绳-安保部 2017.9-12月</t>
  </si>
  <si>
    <t>9月分摊客房平板座充（型号：F8J088bt）-客房 2017.9-12月</t>
  </si>
  <si>
    <t>9月分摊工作进行中牌-PA 2017.9-12月</t>
  </si>
  <si>
    <t>9月分摊小心地滑牌-PA 2017.9-12月</t>
  </si>
  <si>
    <t>9月分摊暂停使用牌-PA 2017.9-12月</t>
  </si>
  <si>
    <t>9月分摊恒义2017年房间迷你吧大理石翻新费用（9-12月）</t>
  </si>
  <si>
    <t>9月分摊毕马威2016年审计费（9-12月，￥24400，VAT6%）</t>
  </si>
  <si>
    <t>9月分摊德勤2017.8-12MICE和CFB测试-S&amp;M （50%，USD3000，9.1汇率6.5909）</t>
  </si>
  <si>
    <t>9月分摊kiwi2017.6.2-2018.12.31基本费用及宣传费用（20%，USD935,9.1汇率6.5909）</t>
  </si>
  <si>
    <t>9月分摊7月领用冬装制服、夏装外套-工程部（2017.8-12）</t>
  </si>
  <si>
    <t>调整9月入账团建费用（2017.10-12）</t>
  </si>
  <si>
    <t>计提9月初月月饼盒&amp;手提袋各600个（RMB16195.14，17%)</t>
  </si>
  <si>
    <t>box初月</t>
  </si>
  <si>
    <t>单位名称：Niccolo Chengdu 打印：Emma 打印时间：2017-10-09</t>
  </si>
  <si>
    <t>40410118</t>
  </si>
  <si>
    <t>账单夹宣传页(月饼）</t>
  </si>
  <si>
    <t>Bill Folder Flyer</t>
  </si>
  <si>
    <t>115*210mm</t>
  </si>
  <si>
    <t>PCS/张</t>
  </si>
  <si>
    <t>成都市武侯区华典图像设计印务部</t>
  </si>
  <si>
    <t>需调整科目</t>
  </si>
  <si>
    <t>40430014</t>
  </si>
  <si>
    <t>宣传海报</t>
  </si>
  <si>
    <t>Poster</t>
  </si>
  <si>
    <t>68x120cm</t>
  </si>
  <si>
    <t>Pc/张</t>
  </si>
  <si>
    <t>青羊区迎宾平面设计工作室</t>
  </si>
  <si>
    <t xml:space="preserve">The Cost of 2017 Mooncake </t>
  </si>
  <si>
    <r>
      <rPr>
        <sz val="12"/>
        <rFont val="宋体"/>
        <charset val="134"/>
        <scheme val="minor"/>
      </rPr>
      <t>N</t>
    </r>
    <r>
      <rPr>
        <sz val="12"/>
        <rFont val="宋体"/>
        <charset val="134"/>
        <scheme val="minor"/>
      </rPr>
      <t>ame</t>
    </r>
  </si>
  <si>
    <r>
      <rPr>
        <sz val="12"/>
        <rFont val="宋体"/>
        <charset val="134"/>
        <scheme val="minor"/>
      </rPr>
      <t>s</t>
    </r>
    <r>
      <rPr>
        <sz val="12"/>
        <rFont val="宋体"/>
        <charset val="134"/>
        <scheme val="minor"/>
      </rPr>
      <t>elling price</t>
    </r>
  </si>
  <si>
    <r>
      <rPr>
        <sz val="12"/>
        <rFont val="宋体"/>
        <charset val="134"/>
        <scheme val="minor"/>
      </rPr>
      <t>P</t>
    </r>
    <r>
      <rPr>
        <sz val="12"/>
        <rFont val="宋体"/>
        <charset val="134"/>
        <scheme val="minor"/>
      </rPr>
      <t>ICC Item</t>
    </r>
  </si>
  <si>
    <t>Detail</t>
  </si>
  <si>
    <r>
      <rPr>
        <sz val="12"/>
        <rFont val="宋体"/>
        <charset val="134"/>
        <scheme val="minor"/>
      </rPr>
      <t>U</t>
    </r>
    <r>
      <rPr>
        <sz val="12"/>
        <rFont val="宋体"/>
        <charset val="134"/>
        <scheme val="minor"/>
      </rPr>
      <t>nit</t>
    </r>
  </si>
  <si>
    <r>
      <rPr>
        <sz val="12"/>
        <rFont val="宋体"/>
        <charset val="134"/>
        <scheme val="minor"/>
      </rPr>
      <t>U</t>
    </r>
    <r>
      <rPr>
        <sz val="12"/>
        <rFont val="宋体"/>
        <charset val="134"/>
        <scheme val="minor"/>
      </rPr>
      <t>nit Cost</t>
    </r>
  </si>
  <si>
    <r>
      <rPr>
        <sz val="12"/>
        <rFont val="宋体"/>
        <charset val="134"/>
        <scheme val="minor"/>
      </rPr>
      <t>C</t>
    </r>
    <r>
      <rPr>
        <sz val="12"/>
        <rFont val="宋体"/>
        <charset val="134"/>
        <scheme val="minor"/>
      </rPr>
      <t>ost</t>
    </r>
  </si>
  <si>
    <r>
      <rPr>
        <sz val="12"/>
        <rFont val="宋体"/>
        <charset val="134"/>
        <scheme val="minor"/>
      </rPr>
      <t>C</t>
    </r>
    <r>
      <rPr>
        <sz val="12"/>
        <rFont val="宋体"/>
        <charset val="134"/>
        <scheme val="minor"/>
      </rPr>
      <t>ost%</t>
    </r>
  </si>
  <si>
    <t>Sales Qty</t>
  </si>
  <si>
    <t>total cost</t>
  </si>
  <si>
    <t>Deluxe Mooncake Box 欣月礼盒（9粒）RMB368.00</t>
  </si>
  <si>
    <t>蛋黄白莲蓉60g</t>
  </si>
  <si>
    <t>果仁豆沙60g</t>
  </si>
  <si>
    <t>茉莉花茶蓉60g</t>
  </si>
  <si>
    <t>鲜花陷系列60g</t>
  </si>
  <si>
    <t>椰皇蓉60g</t>
  </si>
  <si>
    <t>金腿伍仁60g</t>
  </si>
  <si>
    <t>纯正红莲蓉60g</t>
  </si>
  <si>
    <t>香辣牛肉60g</t>
  </si>
  <si>
    <t>XO干贝60g</t>
  </si>
  <si>
    <t>Classic Mooncake Box 轩月礼盒（6粒）RMB298.00</t>
  </si>
  <si>
    <t>蛋黄白莲蓉80g</t>
  </si>
  <si>
    <t>果仁豆沙80g</t>
  </si>
  <si>
    <t>鲜花陷系列80g</t>
  </si>
  <si>
    <t>金腿伍仁80g</t>
  </si>
  <si>
    <t>香辣牛肉80g</t>
  </si>
  <si>
    <t>XO干贝80g</t>
  </si>
  <si>
    <t>Piccolo Mooncake Box 初月礼盒（6粒）RMB258.00</t>
  </si>
  <si>
    <t>核算期:201709-201709 实际数据 科目:1501001</t>
  </si>
  <si>
    <t>1501001</t>
  </si>
  <si>
    <t>食品</t>
  </si>
  <si>
    <t>单号0251FD0030.蛋黄白莲蓉月饼</t>
  </si>
  <si>
    <t>√</t>
  </si>
  <si>
    <t>单号0253FD0030.纯正莲蓉月饼</t>
  </si>
  <si>
    <t>单号0251FD0030.XO干贝月饼</t>
  </si>
  <si>
    <t>单号0251FD0030.鲜花馅系列月饼</t>
  </si>
  <si>
    <t>单号0253FD0030.蛋黄白莲蓉月饼</t>
  </si>
  <si>
    <t>单号0251FD0030.茉莉花茶蓉月饼</t>
  </si>
  <si>
    <t>单号0251FD0030.纯正莲蓉月饼</t>
  </si>
  <si>
    <t>单号0251FD0030.香辣牛肉月饼</t>
  </si>
  <si>
    <t>单号0251FD0030.果仁豆沙月饼</t>
  </si>
  <si>
    <t>单号0253FD0030.鲜花馅系列月饼</t>
  </si>
  <si>
    <t>单号0253FD0030.香辣牛肉月饼</t>
  </si>
  <si>
    <t>单号0251FD0030.金腿伍仁月饼</t>
  </si>
  <si>
    <t>单号0251FD0030.椰皇蓉月饼</t>
  </si>
  <si>
    <t>单号0253FD0030.果仁豆沙月饼</t>
  </si>
  <si>
    <t>单号0253FD0030.椰皇蓉月饼</t>
  </si>
  <si>
    <t>单位名称：Niccolo Chengdu 打印：Emma 打印时间：2017-10-15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</si>
</sst>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¥-804]#,##0.00"/>
    <numFmt numFmtId="177" formatCode="[$-409]d/mmm/yy;@"/>
    <numFmt numFmtId="178" formatCode="_(* #,##0.00_);_(* \(#,##0.00\);_(* &quot;-&quot;??_);_(@_)"/>
    <numFmt numFmtId="179" formatCode="0_);[Red]\(0\)"/>
    <numFmt numFmtId="180" formatCode="#,##0.00;\-#,##0.00;"/>
    <numFmt numFmtId="181" formatCode="#,##0.0_ "/>
    <numFmt numFmtId="182" formatCode="#,##0.00_ "/>
    <numFmt numFmtId="183" formatCode="_ * #,##0_ ;_ * \-#,##0_ ;_ * &quot;-&quot;??_ ;_ @_ "/>
    <numFmt numFmtId="184" formatCode="0.00_);[Red]\(0.00\)"/>
    <numFmt numFmtId="185" formatCode="0_ "/>
    <numFmt numFmtId="186" formatCode="0.00_ "/>
    <numFmt numFmtId="187" formatCode="0.0_ "/>
  </numFmts>
  <fonts count="56"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  <font>
      <sz val="14"/>
      <name val="宋体"/>
      <charset val="134"/>
      <scheme val="minor"/>
    </font>
    <font>
      <sz val="12"/>
      <name val="宋体"/>
      <charset val="134"/>
      <scheme val="minor"/>
    </font>
    <font>
      <b/>
      <sz val="16"/>
      <name val="宋体"/>
      <charset val="134"/>
      <scheme val="minor"/>
    </font>
    <font>
      <b/>
      <sz val="14"/>
      <name val="宋体"/>
      <charset val="134"/>
      <scheme val="minor"/>
    </font>
    <font>
      <b/>
      <sz val="9"/>
      <name val="宋体"/>
      <charset val="134"/>
      <scheme val="minor"/>
    </font>
    <font>
      <sz val="9"/>
      <color theme="0"/>
      <name val="宋体"/>
      <charset val="134"/>
      <scheme val="minor"/>
    </font>
    <font>
      <sz val="10"/>
      <name val="宋体"/>
      <charset val="134"/>
      <scheme val="major"/>
    </font>
    <font>
      <b/>
      <sz val="14"/>
      <name val="宋体"/>
      <charset val="134"/>
      <scheme val="major"/>
    </font>
    <font>
      <b/>
      <sz val="11"/>
      <name val="宋体"/>
      <charset val="134"/>
      <scheme val="major"/>
    </font>
    <font>
      <sz val="11"/>
      <name val="宋体"/>
      <charset val="134"/>
      <scheme val="major"/>
    </font>
    <font>
      <sz val="16"/>
      <name val="Calibri"/>
      <charset val="134"/>
    </font>
    <font>
      <sz val="12"/>
      <name val="Calibri"/>
      <charset val="134"/>
    </font>
    <font>
      <b/>
      <sz val="16"/>
      <name val="Calibri"/>
      <charset val="134"/>
    </font>
    <font>
      <b/>
      <u/>
      <sz val="16"/>
      <name val="Calibri"/>
      <charset val="134"/>
    </font>
    <font>
      <b/>
      <sz val="16"/>
      <color rgb="FFFF0000"/>
      <name val="Calibri"/>
      <charset val="134"/>
    </font>
    <font>
      <sz val="12"/>
      <color rgb="FFFF0000"/>
      <name val="Calibri"/>
      <charset val="134"/>
    </font>
    <font>
      <b/>
      <sz val="16"/>
      <color indexed="60"/>
      <name val="Calibri"/>
      <charset val="134"/>
    </font>
    <font>
      <sz val="16"/>
      <color rgb="FFFF0000"/>
      <name val="Calibri"/>
      <charset val="134"/>
    </font>
    <font>
      <b/>
      <sz val="14"/>
      <name val="Calibri"/>
      <charset val="134"/>
    </font>
    <font>
      <u/>
      <sz val="12"/>
      <name val="Calibri"/>
      <charset val="134"/>
    </font>
    <font>
      <u val="singleAccounting"/>
      <sz val="12"/>
      <name val="Calibri"/>
      <charset val="134"/>
    </font>
    <font>
      <b/>
      <sz val="12"/>
      <name val="Calibri"/>
      <charset val="134"/>
    </font>
    <font>
      <sz val="14"/>
      <name val="Calibri"/>
      <charset val="134"/>
    </font>
    <font>
      <i/>
      <sz val="12"/>
      <name val="Calibri"/>
      <charset val="134"/>
    </font>
    <font>
      <sz val="12"/>
      <color theme="0"/>
      <name val="Calibri"/>
      <charset val="134"/>
    </font>
    <font>
      <b/>
      <sz val="13"/>
      <name val="Calibri"/>
      <charset val="134"/>
    </font>
    <font>
      <sz val="10"/>
      <name val="Calibri"/>
      <charset val="134"/>
    </font>
    <font>
      <sz val="13"/>
      <name val="Calibri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theme="1"/>
      <name val="Arial"/>
      <charset val="134"/>
    </font>
    <font>
      <sz val="12"/>
      <color theme="1"/>
      <name val="Times New Roman"/>
      <charset val="134"/>
    </font>
    <font>
      <sz val="12"/>
      <name val="新細明體"/>
      <charset val="136"/>
    </font>
    <font>
      <b/>
      <sz val="9"/>
      <name val="宋体"/>
      <charset val="134"/>
    </font>
    <font>
      <sz val="9"/>
      <name val="宋体"/>
      <charset val="134"/>
    </font>
  </fonts>
  <fills count="45">
    <fill>
      <patternFill patternType="none"/>
    </fill>
    <fill>
      <patternFill patternType="gray125"/>
    </fill>
    <fill>
      <patternFill patternType="solid">
        <fgColor theme="9" tint="0.799859614856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85351115451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85961485641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176" fontId="0" fillId="0" borderId="0"/>
    <xf numFmtId="43" fontId="3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14" borderId="23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24" applyNumberFormat="0" applyFill="0" applyAlignment="0" applyProtection="0">
      <alignment vertical="center"/>
    </xf>
    <xf numFmtId="0" fontId="37" fillId="0" borderId="24" applyNumberFormat="0" applyFill="0" applyAlignment="0" applyProtection="0">
      <alignment vertical="center"/>
    </xf>
    <xf numFmtId="0" fontId="38" fillId="0" borderId="25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15" borderId="26" applyNumberFormat="0" applyAlignment="0" applyProtection="0">
      <alignment vertical="center"/>
    </xf>
    <xf numFmtId="0" fontId="40" fillId="16" borderId="27" applyNumberFormat="0" applyAlignment="0" applyProtection="0">
      <alignment vertical="center"/>
    </xf>
    <xf numFmtId="0" fontId="41" fillId="16" borderId="26" applyNumberFormat="0" applyAlignment="0" applyProtection="0">
      <alignment vertical="center"/>
    </xf>
    <xf numFmtId="0" fontId="42" fillId="17" borderId="28" applyNumberFormat="0" applyAlignment="0" applyProtection="0">
      <alignment vertical="center"/>
    </xf>
    <xf numFmtId="0" fontId="43" fillId="0" borderId="29" applyNumberFormat="0" applyFill="0" applyAlignment="0" applyProtection="0">
      <alignment vertical="center"/>
    </xf>
    <xf numFmtId="0" fontId="44" fillId="0" borderId="30" applyNumberFormat="0" applyFill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7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43" fontId="50" fillId="0" borderId="0" applyFont="0" applyFill="0" applyBorder="0" applyAlignment="0" applyProtection="0">
      <alignment vertical="center"/>
    </xf>
    <xf numFmtId="0" fontId="50" fillId="0" borderId="0">
      <alignment vertical="center"/>
    </xf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/>
    <xf numFmtId="176" fontId="52" fillId="0" borderId="0">
      <alignment vertical="center"/>
    </xf>
    <xf numFmtId="0" fontId="3" fillId="0" borderId="0">
      <alignment vertical="center" wrapText="1"/>
    </xf>
    <xf numFmtId="177" fontId="30" fillId="0" borderId="0">
      <alignment vertical="center"/>
    </xf>
    <xf numFmtId="0" fontId="30" fillId="0" borderId="0"/>
    <xf numFmtId="0" fontId="50" fillId="0" borderId="0">
      <alignment vertical="center"/>
    </xf>
    <xf numFmtId="0" fontId="51" fillId="0" borderId="0"/>
    <xf numFmtId="43" fontId="50" fillId="0" borderId="0" applyFont="0" applyFill="0" applyBorder="0" applyAlignment="0" applyProtection="0">
      <alignment vertical="center"/>
    </xf>
    <xf numFmtId="178" fontId="53" fillId="0" borderId="0" applyFont="0" applyFill="0" applyBorder="0" applyAlignment="0" applyProtection="0">
      <alignment vertical="center"/>
    </xf>
    <xf numFmtId="178" fontId="51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</cellStyleXfs>
  <cellXfs count="306">
    <xf numFmtId="176" fontId="0" fillId="0" borderId="0" xfId="0"/>
    <xf numFmtId="176" fontId="1" fillId="0" borderId="0" xfId="0" applyFont="1" applyAlignment="1">
      <alignment vertical="center" wrapText="1"/>
    </xf>
    <xf numFmtId="179" fontId="1" fillId="0" borderId="0" xfId="0" applyNumberFormat="1" applyFont="1" applyAlignment="1">
      <alignment vertical="center" wrapText="1"/>
    </xf>
    <xf numFmtId="176" fontId="2" fillId="0" borderId="0" xfId="0" applyFont="1" applyAlignment="1">
      <alignment horizontal="center" vertical="center" wrapText="1"/>
    </xf>
    <xf numFmtId="176" fontId="1" fillId="0" borderId="1" xfId="0" applyFont="1" applyBorder="1" applyAlignment="1">
      <alignment vertical="center" wrapText="1"/>
    </xf>
    <xf numFmtId="176" fontId="1" fillId="0" borderId="2" xfId="0" applyFont="1" applyBorder="1" applyAlignment="1">
      <alignment horizontal="center" vertical="center" wrapText="1"/>
    </xf>
    <xf numFmtId="179" fontId="1" fillId="0" borderId="2" xfId="0" applyNumberFormat="1" applyFont="1" applyBorder="1" applyAlignment="1">
      <alignment horizontal="center" vertical="center" wrapText="1"/>
    </xf>
    <xf numFmtId="176" fontId="1" fillId="0" borderId="2" xfId="0" applyFont="1" applyBorder="1" applyAlignment="1">
      <alignment vertical="center" wrapText="1"/>
    </xf>
    <xf numFmtId="179" fontId="1" fillId="0" borderId="2" xfId="0" applyNumberFormat="1" applyFont="1" applyBorder="1" applyAlignment="1">
      <alignment vertical="center" wrapText="1"/>
    </xf>
    <xf numFmtId="180" fontId="1" fillId="0" borderId="2" xfId="0" applyNumberFormat="1" applyFont="1" applyBorder="1" applyAlignment="1">
      <alignment vertical="center" wrapText="1"/>
    </xf>
    <xf numFmtId="176" fontId="1" fillId="0" borderId="3" xfId="0" applyFont="1" applyBorder="1" applyAlignment="1">
      <alignment vertical="center" wrapText="1"/>
    </xf>
    <xf numFmtId="179" fontId="1" fillId="0" borderId="3" xfId="0" applyNumberFormat="1" applyFont="1" applyBorder="1" applyAlignment="1">
      <alignment vertical="center" wrapText="1"/>
    </xf>
    <xf numFmtId="180" fontId="1" fillId="0" borderId="3" xfId="0" applyNumberFormat="1" applyFont="1" applyBorder="1" applyAlignment="1">
      <alignment vertical="center" wrapText="1"/>
    </xf>
    <xf numFmtId="0" fontId="3" fillId="0" borderId="0" xfId="55" applyAlignment="1">
      <alignment horizontal="center" vertical="center" wrapText="1"/>
    </xf>
    <xf numFmtId="0" fontId="3" fillId="0" borderId="0" xfId="55" applyAlignment="1">
      <alignment wrapText="1"/>
    </xf>
    <xf numFmtId="43" fontId="0" fillId="0" borderId="0" xfId="63" applyFont="1" applyAlignment="1">
      <alignment wrapText="1"/>
    </xf>
    <xf numFmtId="0" fontId="4" fillId="0" borderId="0" xfId="55" applyFont="1" applyAlignment="1">
      <alignment horizontal="center" vertical="center" wrapText="1"/>
    </xf>
    <xf numFmtId="0" fontId="3" fillId="0" borderId="2" xfId="55" applyBorder="1" applyAlignment="1">
      <alignment horizontal="center" vertical="center" wrapText="1"/>
    </xf>
    <xf numFmtId="43" fontId="3" fillId="0" borderId="4" xfId="63" applyFont="1" applyBorder="1" applyAlignment="1">
      <alignment horizontal="center" vertical="center" wrapText="1"/>
    </xf>
    <xf numFmtId="43" fontId="3" fillId="0" borderId="5" xfId="63" applyFont="1" applyBorder="1" applyAlignment="1">
      <alignment horizontal="center" vertical="center" wrapText="1"/>
    </xf>
    <xf numFmtId="43" fontId="3" fillId="0" borderId="2" xfId="63" applyFont="1" applyBorder="1" applyAlignment="1">
      <alignment horizontal="center" vertical="center" wrapText="1"/>
    </xf>
    <xf numFmtId="0" fontId="1" fillId="0" borderId="2" xfId="55" applyFont="1" applyBorder="1">
      <alignment vertical="center" wrapText="1"/>
    </xf>
    <xf numFmtId="0" fontId="3" fillId="2" borderId="2" xfId="55" applyFill="1" applyBorder="1" applyAlignment="1">
      <alignment wrapText="1"/>
    </xf>
    <xf numFmtId="0" fontId="3" fillId="0" borderId="2" xfId="55" applyBorder="1" applyAlignment="1">
      <alignment wrapText="1"/>
    </xf>
    <xf numFmtId="43" fontId="0" fillId="0" borderId="2" xfId="63" applyFont="1" applyBorder="1" applyAlignment="1">
      <alignment wrapText="1"/>
    </xf>
    <xf numFmtId="43" fontId="0" fillId="0" borderId="6" xfId="63" applyFont="1" applyBorder="1" applyAlignment="1">
      <alignment horizontal="center" vertical="center" wrapText="1"/>
    </xf>
    <xf numFmtId="43" fontId="0" fillId="0" borderId="2" xfId="63" applyFont="1" applyBorder="1" applyAlignment="1">
      <alignment horizontal="center" vertical="center" wrapText="1"/>
    </xf>
    <xf numFmtId="10" fontId="3" fillId="0" borderId="2" xfId="55" applyNumberFormat="1" applyBorder="1" applyAlignment="1">
      <alignment horizontal="center" vertical="center" wrapText="1"/>
    </xf>
    <xf numFmtId="10" fontId="3" fillId="0" borderId="0" xfId="55" applyNumberFormat="1" applyAlignment="1">
      <alignment wrapText="1"/>
    </xf>
    <xf numFmtId="43" fontId="0" fillId="0" borderId="7" xfId="63" applyFont="1" applyBorder="1" applyAlignment="1">
      <alignment horizontal="center" vertical="center" wrapText="1"/>
    </xf>
    <xf numFmtId="43" fontId="3" fillId="0" borderId="0" xfId="55" applyNumberFormat="1" applyAlignment="1">
      <alignment wrapText="1"/>
    </xf>
    <xf numFmtId="43" fontId="0" fillId="0" borderId="8" xfId="63" applyFont="1" applyBorder="1" applyAlignment="1">
      <alignment horizontal="center" vertical="center" wrapText="1"/>
    </xf>
    <xf numFmtId="43" fontId="0" fillId="0" borderId="4" xfId="63" applyFont="1" applyBorder="1" applyAlignment="1">
      <alignment horizontal="center" wrapText="1"/>
    </xf>
    <xf numFmtId="43" fontId="0" fillId="0" borderId="5" xfId="63" applyFont="1" applyBorder="1" applyAlignment="1">
      <alignment horizontal="center" wrapText="1"/>
    </xf>
    <xf numFmtId="43" fontId="3" fillId="0" borderId="2" xfId="55" applyNumberFormat="1" applyBorder="1" applyAlignment="1">
      <alignment horizontal="center" vertical="center" wrapText="1"/>
    </xf>
    <xf numFmtId="43" fontId="3" fillId="0" borderId="0" xfId="1" applyFont="1" applyAlignment="1">
      <alignment wrapText="1"/>
    </xf>
    <xf numFmtId="0" fontId="1" fillId="0" borderId="0" xfId="55" applyFont="1">
      <alignment vertical="center" wrapText="1"/>
    </xf>
    <xf numFmtId="0" fontId="2" fillId="0" borderId="0" xfId="55" applyFont="1" applyAlignment="1">
      <alignment horizontal="center" vertical="center" wrapText="1"/>
    </xf>
    <xf numFmtId="0" fontId="1" fillId="0" borderId="1" xfId="55" applyFont="1" applyBorder="1">
      <alignment vertical="center" wrapText="1"/>
    </xf>
    <xf numFmtId="0" fontId="1" fillId="0" borderId="2" xfId="55" applyFont="1" applyBorder="1" applyAlignment="1">
      <alignment horizontal="center" vertical="center" wrapText="1"/>
    </xf>
    <xf numFmtId="180" fontId="1" fillId="0" borderId="2" xfId="55" applyNumberFormat="1" applyFont="1" applyBorder="1">
      <alignment vertical="center" wrapText="1"/>
    </xf>
    <xf numFmtId="180" fontId="1" fillId="3" borderId="2" xfId="55" applyNumberFormat="1" applyFont="1" applyFill="1" applyBorder="1">
      <alignment vertical="center" wrapText="1"/>
    </xf>
    <xf numFmtId="180" fontId="1" fillId="4" borderId="2" xfId="55" applyNumberFormat="1" applyFont="1" applyFill="1" applyBorder="1">
      <alignment vertical="center" wrapText="1"/>
    </xf>
    <xf numFmtId="180" fontId="1" fillId="5" borderId="2" xfId="55" applyNumberFormat="1" applyFont="1" applyFill="1" applyBorder="1">
      <alignment vertical="center" wrapText="1"/>
    </xf>
    <xf numFmtId="181" fontId="1" fillId="0" borderId="0" xfId="55" applyNumberFormat="1" applyFont="1">
      <alignment vertical="center" wrapText="1"/>
    </xf>
    <xf numFmtId="0" fontId="1" fillId="0" borderId="3" xfId="55" applyFont="1" applyBorder="1">
      <alignment vertical="center" wrapText="1"/>
    </xf>
    <xf numFmtId="182" fontId="1" fillId="0" borderId="0" xfId="55" applyNumberFormat="1" applyFont="1">
      <alignment vertical="center" wrapText="1"/>
    </xf>
    <xf numFmtId="43" fontId="1" fillId="0" borderId="0" xfId="1" applyFont="1" applyAlignment="1">
      <alignment vertical="center" wrapText="1"/>
    </xf>
    <xf numFmtId="43" fontId="1" fillId="0" borderId="2" xfId="63" applyFont="1" applyBorder="1" applyAlignment="1">
      <alignment vertical="center" wrapText="1"/>
    </xf>
    <xf numFmtId="43" fontId="1" fillId="4" borderId="2" xfId="63" applyFont="1" applyFill="1" applyBorder="1" applyAlignment="1">
      <alignment vertical="center" wrapText="1"/>
    </xf>
    <xf numFmtId="176" fontId="1" fillId="0" borderId="6" xfId="0" applyFont="1" applyBorder="1" applyAlignment="1">
      <alignment horizontal="center" vertical="center" wrapText="1"/>
    </xf>
    <xf numFmtId="176" fontId="1" fillId="0" borderId="8" xfId="0" applyFont="1" applyBorder="1" applyAlignment="1">
      <alignment horizontal="center" vertical="center" wrapText="1"/>
    </xf>
    <xf numFmtId="183" fontId="1" fillId="0" borderId="0" xfId="63" applyNumberFormat="1" applyFont="1" applyAlignment="1">
      <alignment vertical="center" wrapText="1"/>
    </xf>
    <xf numFmtId="43" fontId="1" fillId="0" borderId="0" xfId="63" applyFont="1" applyAlignment="1">
      <alignment vertical="center" wrapText="1"/>
    </xf>
    <xf numFmtId="0" fontId="5" fillId="0" borderId="1" xfId="55" applyFont="1" applyBorder="1" applyAlignment="1">
      <alignment horizontal="center" vertical="center" wrapText="1"/>
    </xf>
    <xf numFmtId="0" fontId="5" fillId="0" borderId="1" xfId="55" applyFont="1" applyBorder="1">
      <alignment vertical="center" wrapText="1"/>
    </xf>
    <xf numFmtId="0" fontId="1" fillId="0" borderId="6" xfId="55" applyFont="1" applyBorder="1" applyAlignment="1">
      <alignment horizontal="center" vertical="center" wrapText="1"/>
    </xf>
    <xf numFmtId="183" fontId="1" fillId="0" borderId="6" xfId="63" applyNumberFormat="1" applyFont="1" applyBorder="1" applyAlignment="1">
      <alignment horizontal="center" vertical="center" wrapText="1"/>
    </xf>
    <xf numFmtId="43" fontId="1" fillId="0" borderId="6" xfId="63" applyFont="1" applyBorder="1" applyAlignment="1">
      <alignment horizontal="center" vertical="center" wrapText="1"/>
    </xf>
    <xf numFmtId="0" fontId="1" fillId="0" borderId="4" xfId="55" applyFont="1" applyBorder="1" applyAlignment="1">
      <alignment horizontal="center" vertical="center" wrapText="1"/>
    </xf>
    <xf numFmtId="0" fontId="1" fillId="0" borderId="5" xfId="55" applyFont="1" applyBorder="1" applyAlignment="1">
      <alignment horizontal="center" vertical="center" wrapText="1"/>
    </xf>
    <xf numFmtId="43" fontId="1" fillId="0" borderId="4" xfId="63" applyFont="1" applyBorder="1" applyAlignment="1">
      <alignment horizontal="center" vertical="center" wrapText="1"/>
    </xf>
    <xf numFmtId="43" fontId="1" fillId="0" borderId="5" xfId="63" applyFont="1" applyBorder="1" applyAlignment="1">
      <alignment horizontal="center" vertical="center" wrapText="1"/>
    </xf>
    <xf numFmtId="43" fontId="1" fillId="0" borderId="2" xfId="63" applyFont="1" applyBorder="1" applyAlignment="1">
      <alignment horizontal="center" vertical="center" wrapText="1"/>
    </xf>
    <xf numFmtId="43" fontId="1" fillId="0" borderId="0" xfId="63" applyFont="1" applyBorder="1" applyAlignment="1">
      <alignment horizontal="center" vertical="center" wrapText="1"/>
    </xf>
    <xf numFmtId="0" fontId="1" fillId="0" borderId="8" xfId="55" applyFont="1" applyBorder="1" applyAlignment="1">
      <alignment horizontal="center" vertical="center" wrapText="1"/>
    </xf>
    <xf numFmtId="183" fontId="1" fillId="0" borderId="8" xfId="63" applyNumberFormat="1" applyFont="1" applyBorder="1" applyAlignment="1">
      <alignment horizontal="center" vertical="center" wrapText="1"/>
    </xf>
    <xf numFmtId="43" fontId="1" fillId="0" borderId="8" xfId="63" applyFont="1" applyBorder="1" applyAlignment="1">
      <alignment horizontal="center" vertical="center" wrapText="1"/>
    </xf>
    <xf numFmtId="183" fontId="1" fillId="0" borderId="2" xfId="63" applyNumberFormat="1" applyFont="1" applyBorder="1" applyAlignment="1">
      <alignment horizontal="center" vertical="center" wrapText="1"/>
    </xf>
    <xf numFmtId="43" fontId="1" fillId="0" borderId="2" xfId="1" applyFont="1" applyBorder="1" applyAlignment="1">
      <alignment horizontal="center" vertical="center" wrapText="1"/>
    </xf>
    <xf numFmtId="0" fontId="1" fillId="2" borderId="2" xfId="55" applyFont="1" applyFill="1" applyBorder="1">
      <alignment vertical="center" wrapText="1"/>
    </xf>
    <xf numFmtId="183" fontId="1" fillId="0" borderId="2" xfId="63" applyNumberFormat="1" applyFont="1" applyBorder="1" applyAlignment="1">
      <alignment vertical="center" wrapText="1"/>
    </xf>
    <xf numFmtId="43" fontId="1" fillId="0" borderId="2" xfId="55" applyNumberFormat="1" applyFont="1" applyBorder="1">
      <alignment vertical="center" wrapText="1"/>
    </xf>
    <xf numFmtId="43" fontId="1" fillId="0" borderId="2" xfId="1" applyFont="1" applyBorder="1" applyAlignment="1">
      <alignment vertical="center" wrapText="1"/>
    </xf>
    <xf numFmtId="43" fontId="1" fillId="0" borderId="0" xfId="63" applyFont="1" applyBorder="1" applyAlignment="1">
      <alignment vertical="center" wrapText="1"/>
    </xf>
    <xf numFmtId="0" fontId="1" fillId="6" borderId="0" xfId="55" applyFont="1" applyFill="1">
      <alignment vertical="center" wrapText="1"/>
    </xf>
    <xf numFmtId="183" fontId="1" fillId="0" borderId="0" xfId="55" applyNumberFormat="1" applyFont="1">
      <alignment vertical="center" wrapText="1"/>
    </xf>
    <xf numFmtId="43" fontId="1" fillId="0" borderId="0" xfId="55" applyNumberFormat="1" applyFont="1">
      <alignment vertical="center" wrapText="1"/>
    </xf>
    <xf numFmtId="43" fontId="1" fillId="7" borderId="2" xfId="63" applyFont="1" applyFill="1" applyBorder="1" applyAlignment="1">
      <alignment vertical="center" wrapText="1"/>
    </xf>
    <xf numFmtId="0" fontId="6" fillId="0" borderId="4" xfId="55" applyFont="1" applyBorder="1">
      <alignment vertical="center" wrapText="1"/>
    </xf>
    <xf numFmtId="0" fontId="6" fillId="0" borderId="9" xfId="55" applyFont="1" applyBorder="1">
      <alignment vertical="center" wrapText="1"/>
    </xf>
    <xf numFmtId="43" fontId="6" fillId="0" borderId="2" xfId="1" applyFont="1" applyBorder="1" applyAlignment="1">
      <alignment vertical="center" wrapText="1"/>
    </xf>
    <xf numFmtId="43" fontId="6" fillId="0" borderId="5" xfId="1" applyFont="1" applyBorder="1" applyAlignment="1">
      <alignment vertical="center" wrapText="1"/>
    </xf>
    <xf numFmtId="0" fontId="6" fillId="0" borderId="5" xfId="55" applyFont="1" applyBorder="1">
      <alignment vertical="center" wrapText="1"/>
    </xf>
    <xf numFmtId="43" fontId="6" fillId="0" borderId="2" xfId="63" applyFont="1" applyBorder="1" applyAlignment="1">
      <alignment vertical="center" wrapText="1"/>
    </xf>
    <xf numFmtId="183" fontId="6" fillId="0" borderId="2" xfId="63" applyNumberFormat="1" applyFont="1" applyBorder="1" applyAlignment="1">
      <alignment vertical="center" wrapText="1"/>
    </xf>
    <xf numFmtId="43" fontId="6" fillId="0" borderId="2" xfId="55" applyNumberFormat="1" applyFont="1" applyBorder="1">
      <alignment vertical="center" wrapText="1"/>
    </xf>
    <xf numFmtId="43" fontId="6" fillId="0" borderId="0" xfId="63" applyFont="1" applyBorder="1" applyAlignment="1">
      <alignment vertical="center" wrapText="1"/>
    </xf>
    <xf numFmtId="0" fontId="1" fillId="0" borderId="3" xfId="55" applyFont="1" applyBorder="1" applyAlignment="1">
      <alignment horizontal="left" vertical="center" wrapText="1"/>
    </xf>
    <xf numFmtId="43" fontId="1" fillId="0" borderId="3" xfId="55" applyNumberFormat="1" applyFont="1" applyBorder="1">
      <alignment vertical="center" wrapText="1"/>
    </xf>
    <xf numFmtId="0" fontId="1" fillId="0" borderId="3" xfId="55" applyFont="1" applyBorder="1" applyAlignment="1">
      <alignment horizontal="center" vertical="center" wrapText="1"/>
    </xf>
    <xf numFmtId="43" fontId="1" fillId="7" borderId="3" xfId="55" applyNumberFormat="1" applyFont="1" applyFill="1" applyBorder="1">
      <alignment vertical="center" wrapText="1"/>
    </xf>
    <xf numFmtId="0" fontId="1" fillId="0" borderId="0" xfId="55" applyFont="1" applyAlignment="1">
      <alignment horizontal="left" vertical="center" wrapText="1"/>
    </xf>
    <xf numFmtId="43" fontId="7" fillId="0" borderId="0" xfId="63" applyFont="1" applyAlignment="1">
      <alignment vertical="center" wrapText="1"/>
    </xf>
    <xf numFmtId="183" fontId="7" fillId="0" borderId="0" xfId="63" applyNumberFormat="1" applyFont="1" applyAlignment="1">
      <alignment vertical="center" wrapText="1"/>
    </xf>
    <xf numFmtId="0" fontId="7" fillId="0" borderId="0" xfId="55" applyFont="1">
      <alignment vertical="center" wrapText="1"/>
    </xf>
    <xf numFmtId="0" fontId="1" fillId="0" borderId="0" xfId="55" applyFont="1" applyAlignment="1">
      <alignment horizontal="center" vertical="center" wrapText="1"/>
    </xf>
    <xf numFmtId="183" fontId="1" fillId="0" borderId="0" xfId="63" applyNumberFormat="1" applyFont="1" applyAlignment="1">
      <alignment horizontal="center" vertical="center" wrapText="1"/>
    </xf>
    <xf numFmtId="184" fontId="1" fillId="0" borderId="0" xfId="63" applyNumberFormat="1" applyFont="1" applyAlignment="1">
      <alignment vertical="center" wrapText="1"/>
    </xf>
    <xf numFmtId="9" fontId="1" fillId="0" borderId="2" xfId="63" applyNumberFormat="1" applyFont="1" applyBorder="1" applyAlignment="1">
      <alignment vertical="center" wrapText="1"/>
    </xf>
    <xf numFmtId="43" fontId="1" fillId="0" borderId="9" xfId="63" applyFont="1" applyBorder="1" applyAlignment="1">
      <alignment horizontal="center" vertical="center" wrapText="1"/>
    </xf>
    <xf numFmtId="0" fontId="1" fillId="0" borderId="0" xfId="55" applyFont="1" applyAlignment="1">
      <alignment wrapText="1"/>
    </xf>
    <xf numFmtId="0" fontId="1" fillId="8" borderId="2" xfId="55" applyFont="1" applyFill="1" applyBorder="1">
      <alignment vertical="center" wrapText="1"/>
    </xf>
    <xf numFmtId="0" fontId="1" fillId="9" borderId="2" xfId="55" applyFont="1" applyFill="1" applyBorder="1">
      <alignment vertical="center" wrapText="1"/>
    </xf>
    <xf numFmtId="0" fontId="1" fillId="5" borderId="2" xfId="55" applyFont="1" applyFill="1" applyBorder="1">
      <alignment vertical="center" wrapText="1"/>
    </xf>
    <xf numFmtId="0" fontId="6" fillId="0" borderId="2" xfId="55" applyFont="1" applyBorder="1">
      <alignment vertical="center" wrapText="1"/>
    </xf>
    <xf numFmtId="0" fontId="6" fillId="0" borderId="10" xfId="55" applyFont="1" applyBorder="1" applyAlignment="1">
      <alignment horizontal="center" vertical="center" wrapText="1"/>
    </xf>
    <xf numFmtId="0" fontId="6" fillId="0" borderId="3" xfId="55" applyFont="1" applyBorder="1" applyAlignment="1">
      <alignment horizontal="center" vertical="center" wrapText="1"/>
    </xf>
    <xf numFmtId="0" fontId="6" fillId="0" borderId="11" xfId="55" applyFont="1" applyBorder="1" applyAlignment="1">
      <alignment horizontal="center" vertical="center" wrapText="1"/>
    </xf>
    <xf numFmtId="43" fontId="6" fillId="0" borderId="6" xfId="63" applyFont="1" applyBorder="1" applyAlignment="1">
      <alignment vertical="center" wrapText="1"/>
    </xf>
    <xf numFmtId="183" fontId="6" fillId="0" borderId="6" xfId="63" applyNumberFormat="1" applyFont="1" applyBorder="1" applyAlignment="1">
      <alignment vertical="center" wrapText="1"/>
    </xf>
    <xf numFmtId="0" fontId="6" fillId="0" borderId="6" xfId="55" applyFont="1" applyBorder="1">
      <alignment vertical="center" wrapText="1"/>
    </xf>
    <xf numFmtId="0" fontId="6" fillId="0" borderId="12" xfId="55" applyFont="1" applyBorder="1" applyAlignment="1">
      <alignment horizontal="center" vertical="center" wrapText="1"/>
    </xf>
    <xf numFmtId="0" fontId="6" fillId="0" borderId="13" xfId="55" applyFont="1" applyBorder="1" applyAlignment="1">
      <alignment horizontal="center" vertical="center" wrapText="1"/>
    </xf>
    <xf numFmtId="0" fontId="6" fillId="0" borderId="14" xfId="55" applyFont="1" applyBorder="1" applyAlignment="1">
      <alignment horizontal="center" vertical="center" wrapText="1"/>
    </xf>
    <xf numFmtId="43" fontId="6" fillId="0" borderId="15" xfId="63" applyFont="1" applyBorder="1" applyAlignment="1">
      <alignment vertical="center" wrapText="1"/>
    </xf>
    <xf numFmtId="183" fontId="6" fillId="0" borderId="15" xfId="63" applyNumberFormat="1" applyFont="1" applyBorder="1" applyAlignment="1">
      <alignment vertical="center" wrapText="1"/>
    </xf>
    <xf numFmtId="0" fontId="6" fillId="0" borderId="15" xfId="55" applyFont="1" applyBorder="1">
      <alignment vertical="center" wrapText="1"/>
    </xf>
    <xf numFmtId="0" fontId="6" fillId="3" borderId="0" xfId="55" applyFont="1" applyFill="1" applyAlignment="1">
      <alignment horizontal="left" vertical="center" wrapText="1"/>
    </xf>
    <xf numFmtId="0" fontId="6" fillId="0" borderId="0" xfId="55" applyFont="1" applyAlignment="1">
      <alignment horizontal="left" vertical="center" wrapText="1"/>
    </xf>
    <xf numFmtId="0" fontId="1" fillId="0" borderId="1" xfId="55" applyFont="1" applyBorder="1" applyAlignment="1">
      <alignment horizontal="left" wrapText="1"/>
    </xf>
    <xf numFmtId="43" fontId="1" fillId="0" borderId="10" xfId="63" applyFont="1" applyBorder="1" applyAlignment="1">
      <alignment horizontal="center" vertical="center" wrapText="1"/>
    </xf>
    <xf numFmtId="183" fontId="1" fillId="0" borderId="4" xfId="63" applyNumberFormat="1" applyFont="1" applyBorder="1" applyAlignment="1">
      <alignment horizontal="center" vertical="center" wrapText="1"/>
    </xf>
    <xf numFmtId="183" fontId="1" fillId="0" borderId="9" xfId="63" applyNumberFormat="1" applyFont="1" applyBorder="1" applyAlignment="1">
      <alignment horizontal="center" vertical="center" wrapText="1"/>
    </xf>
    <xf numFmtId="183" fontId="1" fillId="0" borderId="16" xfId="63" applyNumberFormat="1" applyFont="1" applyBorder="1" applyAlignment="1">
      <alignment horizontal="center" vertical="center" wrapText="1"/>
    </xf>
    <xf numFmtId="43" fontId="1" fillId="0" borderId="17" xfId="63" applyFont="1" applyBorder="1" applyAlignment="1">
      <alignment horizontal="center" vertical="center" wrapText="1"/>
    </xf>
    <xf numFmtId="43" fontId="1" fillId="0" borderId="10" xfId="63" applyFont="1" applyBorder="1" applyAlignment="1">
      <alignment vertical="center" wrapText="1"/>
    </xf>
    <xf numFmtId="43" fontId="1" fillId="0" borderId="18" xfId="63" applyFont="1" applyBorder="1" applyAlignment="1">
      <alignment horizontal="center" vertical="center" wrapText="1"/>
    </xf>
    <xf numFmtId="183" fontId="1" fillId="0" borderId="5" xfId="63" applyNumberFormat="1" applyFont="1" applyBorder="1" applyAlignment="1">
      <alignment horizontal="center" vertical="center" wrapText="1"/>
    </xf>
    <xf numFmtId="43" fontId="1" fillId="0" borderId="4" xfId="63" applyFont="1" applyBorder="1" applyAlignment="1">
      <alignment vertical="center" wrapText="1"/>
    </xf>
    <xf numFmtId="183" fontId="1" fillId="0" borderId="18" xfId="63" applyNumberFormat="1" applyFont="1" applyBorder="1" applyAlignment="1">
      <alignment vertical="center" wrapText="1"/>
    </xf>
    <xf numFmtId="43" fontId="1" fillId="0" borderId="5" xfId="63" applyFont="1" applyBorder="1" applyAlignment="1">
      <alignment vertical="center" wrapText="1"/>
    </xf>
    <xf numFmtId="0" fontId="1" fillId="0" borderId="2" xfId="63" applyNumberFormat="1" applyFont="1" applyBorder="1" applyAlignment="1">
      <alignment vertical="center" wrapText="1"/>
    </xf>
    <xf numFmtId="0" fontId="1" fillId="0" borderId="9" xfId="55" applyFont="1" applyBorder="1" applyAlignment="1">
      <alignment horizontal="center" vertical="center" wrapText="1"/>
    </xf>
    <xf numFmtId="43" fontId="1" fillId="0" borderId="18" xfId="63" applyFont="1" applyBorder="1" applyAlignment="1">
      <alignment vertical="center" wrapText="1"/>
    </xf>
    <xf numFmtId="43" fontId="6" fillId="0" borderId="5" xfId="63" applyFont="1" applyBorder="1" applyAlignment="1">
      <alignment vertical="center" wrapText="1"/>
    </xf>
    <xf numFmtId="0" fontId="1" fillId="3" borderId="3" xfId="55" applyFont="1" applyFill="1" applyBorder="1" applyAlignment="1">
      <alignment horizontal="left" wrapText="1"/>
    </xf>
    <xf numFmtId="43" fontId="1" fillId="0" borderId="0" xfId="63" applyFont="1" applyAlignment="1">
      <alignment wrapText="1"/>
    </xf>
    <xf numFmtId="183" fontId="1" fillId="0" borderId="0" xfId="63" applyNumberFormat="1" applyFont="1" applyAlignment="1">
      <alignment wrapText="1"/>
    </xf>
    <xf numFmtId="43" fontId="1" fillId="0" borderId="1" xfId="63" applyFont="1" applyBorder="1" applyAlignment="1">
      <alignment horizontal="center" vertical="center" wrapText="1"/>
    </xf>
    <xf numFmtId="184" fontId="1" fillId="0" borderId="2" xfId="1" applyNumberFormat="1" applyFont="1" applyBorder="1" applyAlignment="1">
      <alignment vertical="center" wrapText="1"/>
    </xf>
    <xf numFmtId="177" fontId="8" fillId="0" borderId="0" xfId="54" applyNumberFormat="1" applyFont="1" applyFill="1" applyAlignment="1">
      <alignment vertical="center"/>
    </xf>
    <xf numFmtId="177" fontId="8" fillId="0" borderId="0" xfId="54" applyNumberFormat="1" applyFont="1" applyFill="1" applyAlignment="1">
      <alignment horizontal="center" vertical="center"/>
    </xf>
    <xf numFmtId="177" fontId="9" fillId="0" borderId="0" xfId="54" applyNumberFormat="1" applyFont="1" applyFill="1" applyAlignment="1">
      <alignment horizontal="center" vertical="center"/>
    </xf>
    <xf numFmtId="177" fontId="10" fillId="10" borderId="2" xfId="54" applyNumberFormat="1" applyFont="1" applyFill="1" applyBorder="1" applyAlignment="1">
      <alignment horizontal="center" vertical="center" wrapText="1"/>
    </xf>
    <xf numFmtId="185" fontId="11" fillId="0" borderId="2" xfId="54" applyNumberFormat="1" applyFont="1" applyFill="1" applyBorder="1" applyAlignment="1">
      <alignment horizontal="center" vertical="center"/>
    </xf>
    <xf numFmtId="177" fontId="11" fillId="11" borderId="2" xfId="54" applyNumberFormat="1" applyFont="1" applyFill="1" applyBorder="1" applyAlignment="1">
      <alignment horizontal="center" vertical="center" wrapText="1"/>
    </xf>
    <xf numFmtId="177" fontId="11" fillId="0" borderId="2" xfId="54" applyNumberFormat="1" applyFont="1" applyFill="1" applyBorder="1" applyAlignment="1">
      <alignment horizontal="left" vertical="center" wrapText="1"/>
    </xf>
    <xf numFmtId="177" fontId="11" fillId="0" borderId="2" xfId="54" applyNumberFormat="1" applyFont="1" applyFill="1" applyBorder="1" applyAlignment="1">
      <alignment horizontal="center" vertical="center" wrapText="1"/>
    </xf>
    <xf numFmtId="185" fontId="11" fillId="0" borderId="2" xfId="1" applyNumberFormat="1" applyFont="1" applyFill="1" applyBorder="1" applyAlignment="1">
      <alignment horizontal="center" vertical="center" wrapText="1"/>
    </xf>
    <xf numFmtId="43" fontId="11" fillId="0" borderId="2" xfId="1" applyFont="1" applyFill="1" applyBorder="1" applyAlignment="1">
      <alignment horizontal="center" vertical="center" wrapText="1"/>
    </xf>
    <xf numFmtId="177" fontId="11" fillId="0" borderId="2" xfId="54" applyNumberFormat="1" applyFont="1" applyFill="1" applyBorder="1" applyAlignment="1">
      <alignment horizontal="center" vertical="center"/>
    </xf>
    <xf numFmtId="186" fontId="11" fillId="0" borderId="2" xfId="54" applyNumberFormat="1" applyFont="1" applyFill="1" applyBorder="1" applyAlignment="1">
      <alignment horizontal="center" vertical="center"/>
    </xf>
    <xf numFmtId="9" fontId="11" fillId="0" borderId="2" xfId="3" applyFont="1" applyBorder="1" applyAlignment="1">
      <alignment horizontal="center" vertical="center"/>
    </xf>
    <xf numFmtId="0" fontId="12" fillId="11" borderId="0" xfId="59" applyFont="1" applyFill="1"/>
    <xf numFmtId="0" fontId="13" fillId="11" borderId="0" xfId="59" applyFont="1" applyFill="1"/>
    <xf numFmtId="0" fontId="14" fillId="11" borderId="0" xfId="59" applyFont="1" applyFill="1"/>
    <xf numFmtId="0" fontId="15" fillId="11" borderId="0" xfId="59" applyFont="1" applyFill="1"/>
    <xf numFmtId="0" fontId="16" fillId="11" borderId="0" xfId="59" applyFont="1" applyFill="1"/>
    <xf numFmtId="0" fontId="17" fillId="11" borderId="0" xfId="59" applyFont="1" applyFill="1"/>
    <xf numFmtId="187" fontId="18" fillId="11" borderId="0" xfId="59" applyNumberFormat="1" applyFont="1" applyFill="1"/>
    <xf numFmtId="0" fontId="18" fillId="11" borderId="0" xfId="59" applyFont="1" applyFill="1"/>
    <xf numFmtId="0" fontId="19" fillId="11" borderId="1" xfId="59" applyFont="1" applyFill="1" applyBorder="1" applyAlignment="1">
      <alignment horizontal="center"/>
    </xf>
    <xf numFmtId="0" fontId="19" fillId="11" borderId="0" xfId="59" applyFont="1" applyFill="1" applyAlignment="1">
      <alignment horizontal="center"/>
    </xf>
    <xf numFmtId="0" fontId="20" fillId="11" borderId="0" xfId="59" applyFont="1" applyFill="1"/>
    <xf numFmtId="0" fontId="13" fillId="11" borderId="0" xfId="59" applyFont="1" applyFill="1" applyAlignment="1">
      <alignment horizontal="center" wrapText="1"/>
    </xf>
    <xf numFmtId="0" fontId="21" fillId="11" borderId="0" xfId="59" applyFont="1" applyFill="1" applyAlignment="1">
      <alignment horizontal="center"/>
    </xf>
    <xf numFmtId="183" fontId="22" fillId="11" borderId="0" xfId="62" applyNumberFormat="1" applyFont="1" applyFill="1" applyAlignment="1">
      <alignment horizontal="center"/>
    </xf>
    <xf numFmtId="0" fontId="21" fillId="11" borderId="0" xfId="59" applyFont="1" applyFill="1" applyAlignment="1">
      <alignment horizontal="center" wrapText="1"/>
    </xf>
    <xf numFmtId="0" fontId="13" fillId="11" borderId="0" xfId="59" applyFont="1" applyFill="1" applyAlignment="1">
      <alignment horizontal="center" vertical="center"/>
    </xf>
    <xf numFmtId="0" fontId="23" fillId="12" borderId="7" xfId="59" applyFont="1" applyFill="1" applyBorder="1" applyAlignment="1">
      <alignment horizontal="center" vertical="center"/>
    </xf>
    <xf numFmtId="0" fontId="13" fillId="11" borderId="10" xfId="59" applyFont="1" applyFill="1" applyBorder="1"/>
    <xf numFmtId="0" fontId="23" fillId="11" borderId="0" xfId="59" applyFont="1" applyFill="1" applyAlignment="1">
      <alignment horizontal="center" vertical="center"/>
    </xf>
    <xf numFmtId="182" fontId="24" fillId="11" borderId="1" xfId="59" applyNumberFormat="1" applyFont="1" applyFill="1" applyBorder="1" applyAlignment="1">
      <alignment horizontal="center"/>
    </xf>
    <xf numFmtId="43" fontId="13" fillId="11" borderId="0" xfId="1" applyFont="1" applyFill="1" applyAlignment="1"/>
    <xf numFmtId="183" fontId="13" fillId="11" borderId="0" xfId="1" applyNumberFormat="1" applyFont="1" applyFill="1" applyAlignment="1">
      <alignment horizontal="right"/>
    </xf>
    <xf numFmtId="183" fontId="13" fillId="11" borderId="0" xfId="62" applyNumberFormat="1" applyFont="1" applyFill="1" applyAlignment="1">
      <alignment horizontal="center"/>
    </xf>
    <xf numFmtId="2" fontId="13" fillId="11" borderId="0" xfId="59" applyNumberFormat="1" applyFont="1" applyFill="1" applyAlignment="1">
      <alignment horizontal="right"/>
    </xf>
    <xf numFmtId="9" fontId="13" fillId="11" borderId="0" xfId="3" applyFont="1" applyFill="1" applyAlignment="1"/>
    <xf numFmtId="9" fontId="13" fillId="12" borderId="7" xfId="3" applyFont="1" applyFill="1" applyBorder="1" applyAlignment="1"/>
    <xf numFmtId="0" fontId="13" fillId="11" borderId="19" xfId="3" applyNumberFormat="1" applyFont="1" applyFill="1" applyBorder="1" applyAlignment="1"/>
    <xf numFmtId="183" fontId="13" fillId="11" borderId="0" xfId="59" applyNumberFormat="1" applyFont="1" applyFill="1"/>
    <xf numFmtId="9" fontId="13" fillId="11" borderId="0" xfId="3" applyFont="1" applyFill="1" applyBorder="1" applyAlignment="1"/>
    <xf numFmtId="43" fontId="17" fillId="11" borderId="0" xfId="1" applyFont="1" applyFill="1" applyAlignment="1"/>
    <xf numFmtId="183" fontId="17" fillId="11" borderId="0" xfId="1" applyNumberFormat="1" applyFont="1" applyFill="1" applyAlignment="1">
      <alignment horizontal="right"/>
    </xf>
    <xf numFmtId="43" fontId="25" fillId="11" borderId="0" xfId="62" applyNumberFormat="1" applyFont="1" applyFill="1" applyAlignment="1"/>
    <xf numFmtId="183" fontId="13" fillId="11" borderId="3" xfId="1" applyNumberFormat="1" applyFont="1" applyFill="1" applyBorder="1" applyAlignment="1">
      <alignment horizontal="right"/>
    </xf>
    <xf numFmtId="0" fontId="13" fillId="11" borderId="1" xfId="59" applyFont="1" applyFill="1" applyBorder="1"/>
    <xf numFmtId="0" fontId="13" fillId="11" borderId="0" xfId="59" applyFont="1" applyFill="1" applyAlignment="1">
      <alignment horizontal="right"/>
    </xf>
    <xf numFmtId="43" fontId="25" fillId="12" borderId="7" xfId="62" applyNumberFormat="1" applyFont="1" applyFill="1" applyBorder="1" applyAlignment="1"/>
    <xf numFmtId="0" fontId="25" fillId="11" borderId="19" xfId="62" applyNumberFormat="1" applyFont="1" applyFill="1" applyBorder="1" applyAlignment="1"/>
    <xf numFmtId="183" fontId="13" fillId="11" borderId="0" xfId="62" applyNumberFormat="1" applyFont="1" applyFill="1" applyBorder="1" applyAlignment="1">
      <alignment horizontal="center"/>
    </xf>
    <xf numFmtId="0" fontId="23" fillId="11" borderId="0" xfId="59" applyFont="1" applyFill="1"/>
    <xf numFmtId="0" fontId="23" fillId="12" borderId="7" xfId="59" applyFont="1" applyFill="1" applyBorder="1"/>
    <xf numFmtId="0" fontId="23" fillId="11" borderId="19" xfId="59" applyFont="1" applyFill="1" applyBorder="1"/>
    <xf numFmtId="37" fontId="13" fillId="11" borderId="1" xfId="62" applyNumberFormat="1" applyFont="1" applyFill="1" applyBorder="1" applyAlignment="1">
      <alignment horizontal="right"/>
    </xf>
    <xf numFmtId="183" fontId="13" fillId="11" borderId="1" xfId="62" applyNumberFormat="1" applyFont="1" applyFill="1" applyBorder="1" applyAlignment="1">
      <alignment horizontal="right"/>
    </xf>
    <xf numFmtId="183" fontId="13" fillId="11" borderId="3" xfId="62" applyNumberFormat="1" applyFont="1" applyFill="1" applyBorder="1" applyAlignment="1">
      <alignment horizontal="center"/>
    </xf>
    <xf numFmtId="9" fontId="26" fillId="11" borderId="0" xfId="3" applyFont="1" applyFill="1" applyBorder="1" applyAlignment="1"/>
    <xf numFmtId="9" fontId="13" fillId="11" borderId="0" xfId="3" applyFont="1" applyFill="1" applyBorder="1" applyAlignment="1">
      <alignment horizontal="right"/>
    </xf>
    <xf numFmtId="183" fontId="13" fillId="11" borderId="0" xfId="62" applyNumberFormat="1" applyFont="1" applyFill="1" applyAlignment="1"/>
    <xf numFmtId="0" fontId="13" fillId="12" borderId="7" xfId="59" applyFont="1" applyFill="1" applyBorder="1"/>
    <xf numFmtId="0" fontId="13" fillId="11" borderId="19" xfId="59" applyFont="1" applyFill="1" applyBorder="1"/>
    <xf numFmtId="0" fontId="13" fillId="11" borderId="0" xfId="59" applyFont="1" applyFill="1" applyAlignment="1">
      <alignment horizontal="center"/>
    </xf>
    <xf numFmtId="0" fontId="23" fillId="11" borderId="0" xfId="59" applyFont="1" applyFill="1" applyAlignment="1">
      <alignment horizontal="center"/>
    </xf>
    <xf numFmtId="0" fontId="23" fillId="12" borderId="7" xfId="59" applyFont="1" applyFill="1" applyBorder="1" applyAlignment="1">
      <alignment horizontal="center"/>
    </xf>
    <xf numFmtId="43" fontId="23" fillId="11" borderId="0" xfId="62" applyNumberFormat="1" applyFont="1" applyFill="1" applyAlignment="1">
      <alignment horizontal="center"/>
    </xf>
    <xf numFmtId="43" fontId="23" fillId="12" borderId="7" xfId="62" applyNumberFormat="1" applyFont="1" applyFill="1" applyBorder="1" applyAlignment="1">
      <alignment horizontal="center"/>
    </xf>
    <xf numFmtId="10" fontId="13" fillId="11" borderId="0" xfId="62" applyNumberFormat="1" applyFont="1" applyFill="1" applyAlignment="1">
      <alignment horizontal="center"/>
    </xf>
    <xf numFmtId="0" fontId="27" fillId="11" borderId="0" xfId="59" applyFont="1" applyFill="1"/>
    <xf numFmtId="183" fontId="13" fillId="11" borderId="3" xfId="59" applyNumberFormat="1" applyFont="1" applyFill="1" applyBorder="1" applyAlignment="1">
      <alignment horizontal="right"/>
    </xf>
    <xf numFmtId="183" fontId="13" fillId="11" borderId="3" xfId="1" applyNumberFormat="1" applyFont="1" applyFill="1" applyBorder="1" applyAlignment="1">
      <alignment horizontal="center"/>
    </xf>
    <xf numFmtId="43" fontId="13" fillId="11" borderId="0" xfId="62" applyNumberFormat="1" applyFont="1" applyFill="1" applyAlignment="1"/>
    <xf numFmtId="43" fontId="13" fillId="12" borderId="7" xfId="62" applyNumberFormat="1" applyFont="1" applyFill="1" applyBorder="1" applyAlignment="1"/>
    <xf numFmtId="9" fontId="26" fillId="11" borderId="0" xfId="3" applyFont="1" applyFill="1" applyAlignment="1"/>
    <xf numFmtId="183" fontId="13" fillId="11" borderId="0" xfId="59" applyNumberFormat="1" applyFont="1" applyFill="1" applyAlignment="1">
      <alignment horizontal="right"/>
    </xf>
    <xf numFmtId="182" fontId="13" fillId="11" borderId="0" xfId="62" applyNumberFormat="1" applyFont="1" applyFill="1" applyAlignment="1"/>
    <xf numFmtId="38" fontId="13" fillId="11" borderId="0" xfId="62" applyNumberFormat="1" applyFont="1" applyFill="1" applyBorder="1" applyAlignment="1">
      <alignment horizontal="right"/>
    </xf>
    <xf numFmtId="43" fontId="13" fillId="11" borderId="0" xfId="1" applyFont="1" applyFill="1" applyAlignment="1">
      <alignment horizontal="right"/>
    </xf>
    <xf numFmtId="182" fontId="13" fillId="12" borderId="7" xfId="62" applyNumberFormat="1" applyFont="1" applyFill="1" applyBorder="1" applyAlignment="1"/>
    <xf numFmtId="43" fontId="25" fillId="11" borderId="0" xfId="62" applyNumberFormat="1" applyFont="1" applyFill="1" applyAlignment="1">
      <alignment wrapText="1"/>
    </xf>
    <xf numFmtId="0" fontId="13" fillId="11" borderId="0" xfId="59" applyFont="1" applyFill="1" applyAlignment="1">
      <alignment horizontal="right" wrapText="1"/>
    </xf>
    <xf numFmtId="0" fontId="13" fillId="0" borderId="0" xfId="59" applyFont="1" applyAlignment="1">
      <alignment horizontal="right"/>
    </xf>
    <xf numFmtId="183" fontId="23" fillId="11" borderId="3" xfId="62" applyNumberFormat="1" applyFont="1" applyFill="1" applyBorder="1" applyAlignment="1"/>
    <xf numFmtId="182" fontId="23" fillId="11" borderId="0" xfId="62" applyNumberFormat="1" applyFont="1" applyFill="1" applyAlignment="1"/>
    <xf numFmtId="183" fontId="13" fillId="11" borderId="0" xfId="1" applyNumberFormat="1" applyFont="1" applyFill="1" applyAlignment="1">
      <alignment horizontal="center"/>
    </xf>
    <xf numFmtId="10" fontId="13" fillId="11" borderId="0" xfId="3" applyNumberFormat="1" applyFont="1" applyFill="1" applyAlignment="1">
      <alignment horizontal="right"/>
    </xf>
    <xf numFmtId="0" fontId="13" fillId="11" borderId="0" xfId="59" applyFont="1" applyFill="1" applyAlignment="1">
      <alignment wrapText="1"/>
    </xf>
    <xf numFmtId="183" fontId="13" fillId="11" borderId="0" xfId="62" applyNumberFormat="1" applyFont="1" applyFill="1" applyBorder="1" applyAlignment="1">
      <alignment horizontal="center" wrapText="1"/>
    </xf>
    <xf numFmtId="43" fontId="25" fillId="12" borderId="7" xfId="62" applyNumberFormat="1" applyFont="1" applyFill="1" applyBorder="1" applyAlignment="1">
      <alignment wrapText="1"/>
    </xf>
    <xf numFmtId="182" fontId="23" fillId="12" borderId="7" xfId="62" applyNumberFormat="1" applyFont="1" applyFill="1" applyBorder="1" applyAlignment="1"/>
    <xf numFmtId="187" fontId="14" fillId="11" borderId="0" xfId="59" applyNumberFormat="1" applyFont="1" applyFill="1"/>
    <xf numFmtId="183" fontId="26" fillId="11" borderId="0" xfId="59" applyNumberFormat="1" applyFont="1" applyFill="1"/>
    <xf numFmtId="182" fontId="20" fillId="11" borderId="0" xfId="62" applyNumberFormat="1" applyFont="1" applyFill="1" applyAlignment="1"/>
    <xf numFmtId="183" fontId="13" fillId="0" borderId="0" xfId="62" applyNumberFormat="1" applyFont="1" applyFill="1" applyAlignment="1">
      <alignment horizontal="center"/>
    </xf>
    <xf numFmtId="9" fontId="13" fillId="11" borderId="0" xfId="3" applyFont="1" applyFill="1" applyBorder="1" applyAlignment="1">
      <alignment horizontal="center"/>
    </xf>
    <xf numFmtId="43" fontId="13" fillId="11" borderId="0" xfId="62" applyNumberFormat="1" applyFont="1" applyFill="1" applyAlignment="1">
      <alignment horizontal="right"/>
    </xf>
    <xf numFmtId="183" fontId="23" fillId="11" borderId="0" xfId="62" applyNumberFormat="1" applyFont="1" applyFill="1" applyBorder="1" applyAlignment="1">
      <alignment horizontal="center"/>
    </xf>
    <xf numFmtId="43" fontId="20" fillId="11" borderId="0" xfId="62" applyNumberFormat="1" applyFont="1" applyFill="1" applyAlignment="1"/>
    <xf numFmtId="9" fontId="23" fillId="11" borderId="0" xfId="3" applyFont="1" applyFill="1" applyBorder="1" applyAlignment="1">
      <alignment horizontal="center"/>
    </xf>
    <xf numFmtId="0" fontId="13" fillId="11" borderId="19" xfId="62" applyNumberFormat="1" applyFont="1" applyFill="1" applyBorder="1" applyAlignment="1"/>
    <xf numFmtId="183" fontId="20" fillId="11" borderId="20" xfId="62" applyNumberFormat="1" applyFont="1" applyFill="1" applyBorder="1" applyAlignment="1">
      <alignment horizontal="center"/>
    </xf>
    <xf numFmtId="0" fontId="20" fillId="12" borderId="7" xfId="59" applyFont="1" applyFill="1" applyBorder="1"/>
    <xf numFmtId="0" fontId="20" fillId="11" borderId="19" xfId="59" applyFont="1" applyFill="1" applyBorder="1"/>
    <xf numFmtId="10" fontId="20" fillId="11" borderId="21" xfId="53" applyNumberFormat="1" applyFont="1" applyFill="1" applyBorder="1" applyAlignment="1">
      <alignment horizontal="right"/>
    </xf>
    <xf numFmtId="43" fontId="20" fillId="12" borderId="7" xfId="62" applyNumberFormat="1" applyFont="1" applyFill="1" applyBorder="1" applyAlignment="1"/>
    <xf numFmtId="0" fontId="20" fillId="11" borderId="19" xfId="62" applyNumberFormat="1" applyFont="1" applyFill="1" applyBorder="1" applyAlignment="1"/>
    <xf numFmtId="9" fontId="20" fillId="11" borderId="21" xfId="53" applyFont="1" applyFill="1" applyBorder="1" applyAlignment="1">
      <alignment horizontal="right"/>
    </xf>
    <xf numFmtId="9" fontId="20" fillId="11" borderId="0" xfId="53" applyFont="1" applyFill="1" applyBorder="1" applyAlignment="1">
      <alignment horizontal="right"/>
    </xf>
    <xf numFmtId="0" fontId="13" fillId="3" borderId="0" xfId="59" applyFont="1" applyFill="1"/>
    <xf numFmtId="43" fontId="13" fillId="3" borderId="0" xfId="1" applyFont="1" applyFill="1" applyAlignment="1"/>
    <xf numFmtId="183" fontId="13" fillId="3" borderId="0" xfId="1" applyNumberFormat="1" applyFont="1" applyFill="1" applyAlignment="1">
      <alignment horizontal="right"/>
    </xf>
    <xf numFmtId="183" fontId="13" fillId="3" borderId="0" xfId="62" applyNumberFormat="1" applyFont="1" applyFill="1" applyAlignment="1">
      <alignment horizontal="center"/>
    </xf>
    <xf numFmtId="43" fontId="17" fillId="3" borderId="0" xfId="1" applyFont="1" applyFill="1" applyAlignment="1"/>
    <xf numFmtId="2" fontId="13" fillId="3" borderId="0" xfId="59" applyNumberFormat="1" applyFont="1" applyFill="1" applyAlignment="1">
      <alignment horizontal="right"/>
    </xf>
    <xf numFmtId="183" fontId="20" fillId="3" borderId="20" xfId="62" applyNumberFormat="1" applyFont="1" applyFill="1" applyBorder="1" applyAlignment="1">
      <alignment horizontal="center"/>
    </xf>
    <xf numFmtId="0" fontId="12" fillId="0" borderId="0" xfId="59" applyFont="1"/>
    <xf numFmtId="0" fontId="13" fillId="0" borderId="0" xfId="59" applyFont="1"/>
    <xf numFmtId="0" fontId="17" fillId="0" borderId="0" xfId="59" applyFont="1"/>
    <xf numFmtId="0" fontId="14" fillId="0" borderId="0" xfId="59" applyFont="1"/>
    <xf numFmtId="0" fontId="12" fillId="0" borderId="0" xfId="59" applyFont="1" applyAlignment="1">
      <alignment horizontal="right"/>
    </xf>
    <xf numFmtId="0" fontId="15" fillId="0" borderId="0" xfId="59" applyFont="1"/>
    <xf numFmtId="182" fontId="28" fillId="0" borderId="0" xfId="59" applyNumberFormat="1" applyFont="1"/>
    <xf numFmtId="0" fontId="12" fillId="0" borderId="1" xfId="59" applyFont="1" applyBorder="1" applyAlignment="1">
      <alignment horizontal="center"/>
    </xf>
    <xf numFmtId="0" fontId="14" fillId="0" borderId="0" xfId="59" applyFont="1" applyAlignment="1">
      <alignment horizontal="right"/>
    </xf>
    <xf numFmtId="187" fontId="14" fillId="0" borderId="0" xfId="59" applyNumberFormat="1" applyFont="1"/>
    <xf numFmtId="0" fontId="13" fillId="0" borderId="0" xfId="59" applyFont="1" applyAlignment="1">
      <alignment horizontal="center"/>
    </xf>
    <xf numFmtId="182" fontId="24" fillId="0" borderId="1" xfId="59" applyNumberFormat="1" applyFont="1" applyBorder="1" applyAlignment="1">
      <alignment horizontal="center"/>
    </xf>
    <xf numFmtId="0" fontId="14" fillId="0" borderId="0" xfId="59" applyFont="1" applyAlignment="1">
      <alignment horizontal="center"/>
    </xf>
    <xf numFmtId="0" fontId="20" fillId="0" borderId="0" xfId="59" applyFont="1"/>
    <xf numFmtId="0" fontId="21" fillId="0" borderId="0" xfId="59" applyFont="1" applyAlignment="1">
      <alignment horizontal="center"/>
    </xf>
    <xf numFmtId="0" fontId="21" fillId="0" borderId="0" xfId="59" applyFont="1" applyAlignment="1">
      <alignment horizontal="center" wrapText="1"/>
    </xf>
    <xf numFmtId="0" fontId="23" fillId="0" borderId="0" xfId="59" applyFont="1" applyAlignment="1">
      <alignment horizontal="center"/>
    </xf>
    <xf numFmtId="183" fontId="13" fillId="13" borderId="0" xfId="1" applyNumberFormat="1" applyFont="1" applyFill="1" applyAlignment="1">
      <alignment horizontal="right"/>
    </xf>
    <xf numFmtId="2" fontId="13" fillId="13" borderId="0" xfId="59" applyNumberFormat="1" applyFont="1" applyFill="1" applyAlignment="1">
      <alignment horizontal="right"/>
    </xf>
    <xf numFmtId="43" fontId="25" fillId="0" borderId="0" xfId="62" applyNumberFormat="1" applyFont="1" applyAlignment="1"/>
    <xf numFmtId="183" fontId="13" fillId="0" borderId="22" xfId="1" applyNumberFormat="1" applyFont="1" applyBorder="1" applyAlignment="1">
      <alignment horizontal="right"/>
    </xf>
    <xf numFmtId="0" fontId="13" fillId="0" borderId="1" xfId="59" applyFont="1" applyBorder="1"/>
    <xf numFmtId="0" fontId="23" fillId="0" borderId="0" xfId="59" applyFont="1"/>
    <xf numFmtId="183" fontId="13" fillId="0" borderId="0" xfId="1" applyNumberFormat="1" applyFont="1" applyAlignment="1">
      <alignment horizontal="right"/>
    </xf>
    <xf numFmtId="183" fontId="13" fillId="0" borderId="0" xfId="62" applyNumberFormat="1" applyFont="1" applyFill="1" applyBorder="1" applyAlignment="1">
      <alignment horizontal="center"/>
    </xf>
    <xf numFmtId="183" fontId="13" fillId="0" borderId="0" xfId="59" applyNumberFormat="1" applyFont="1"/>
    <xf numFmtId="37" fontId="13" fillId="0" borderId="1" xfId="62" applyNumberFormat="1" applyFont="1" applyFill="1" applyBorder="1" applyAlignment="1">
      <alignment horizontal="right"/>
    </xf>
    <xf numFmtId="183" fontId="13" fillId="0" borderId="22" xfId="62" applyNumberFormat="1" applyFont="1" applyFill="1" applyBorder="1" applyAlignment="1">
      <alignment horizontal="center"/>
    </xf>
    <xf numFmtId="183" fontId="13" fillId="0" borderId="0" xfId="62" applyNumberFormat="1" applyFont="1" applyFill="1" applyAlignment="1"/>
    <xf numFmtId="43" fontId="23" fillId="0" borderId="0" xfId="62" applyNumberFormat="1" applyFont="1" applyAlignment="1"/>
    <xf numFmtId="43" fontId="23" fillId="0" borderId="0" xfId="62" applyNumberFormat="1" applyFont="1" applyAlignment="1">
      <alignment horizontal="center"/>
    </xf>
    <xf numFmtId="2" fontId="13" fillId="0" borderId="0" xfId="59" applyNumberFormat="1" applyFont="1" applyAlignment="1">
      <alignment horizontal="right"/>
    </xf>
    <xf numFmtId="183" fontId="13" fillId="0" borderId="22" xfId="59" applyNumberFormat="1" applyFont="1" applyBorder="1" applyAlignment="1">
      <alignment horizontal="right"/>
    </xf>
    <xf numFmtId="43" fontId="13" fillId="0" borderId="0" xfId="62" applyNumberFormat="1" applyFont="1" applyAlignment="1"/>
    <xf numFmtId="0" fontId="13" fillId="0" borderId="0" xfId="59" applyFont="1" applyAlignment="1">
      <alignment wrapText="1"/>
    </xf>
    <xf numFmtId="43" fontId="25" fillId="0" borderId="0" xfId="62" applyNumberFormat="1" applyFont="1" applyAlignment="1">
      <alignment wrapText="1"/>
    </xf>
    <xf numFmtId="0" fontId="13" fillId="0" borderId="0" xfId="59" applyFont="1" applyAlignment="1">
      <alignment horizontal="right" wrapText="1"/>
    </xf>
    <xf numFmtId="183" fontId="13" fillId="0" borderId="0" xfId="62" applyNumberFormat="1" applyFont="1" applyFill="1" applyBorder="1" applyAlignment="1">
      <alignment horizontal="center" wrapText="1"/>
    </xf>
    <xf numFmtId="182" fontId="20" fillId="0" borderId="0" xfId="62" applyNumberFormat="1" applyFont="1" applyAlignment="1"/>
    <xf numFmtId="182" fontId="23" fillId="0" borderId="0" xfId="62" applyNumberFormat="1" applyFont="1" applyAlignment="1"/>
    <xf numFmtId="183" fontId="13" fillId="13" borderId="0" xfId="62" applyNumberFormat="1" applyFont="1" applyFill="1" applyAlignment="1">
      <alignment horizontal="center"/>
    </xf>
    <xf numFmtId="183" fontId="13" fillId="0" borderId="1" xfId="62" applyNumberFormat="1" applyFont="1" applyBorder="1" applyAlignment="1">
      <alignment horizontal="center"/>
    </xf>
    <xf numFmtId="183" fontId="29" fillId="0" borderId="0" xfId="62" applyNumberFormat="1" applyFont="1" applyFill="1" applyBorder="1" applyAlignment="1"/>
    <xf numFmtId="43" fontId="13" fillId="0" borderId="0" xfId="62" applyNumberFormat="1" applyFont="1" applyAlignment="1">
      <alignment horizontal="right"/>
    </xf>
    <xf numFmtId="183" fontId="20" fillId="0" borderId="20" xfId="62" applyNumberFormat="1" applyFont="1" applyFill="1" applyBorder="1" applyAlignment="1">
      <alignment horizontal="center"/>
    </xf>
    <xf numFmtId="43" fontId="20" fillId="0" borderId="0" xfId="62" applyNumberFormat="1" applyFont="1" applyAlignment="1">
      <alignment horizontal="right"/>
    </xf>
    <xf numFmtId="43" fontId="20" fillId="0" borderId="0" xfId="62" applyNumberFormat="1" applyFont="1" applyAlignment="1"/>
    <xf numFmtId="9" fontId="20" fillId="0" borderId="21" xfId="53" applyFont="1" applyFill="1" applyBorder="1" applyAlignment="1">
      <alignment horizontal="right"/>
    </xf>
    <xf numFmtId="9" fontId="13" fillId="0" borderId="0" xfId="53" applyFont="1" applyFill="1" applyBorder="1" applyAlignment="1"/>
    <xf numFmtId="0" fontId="21" fillId="0" borderId="0" xfId="59" applyFont="1"/>
    <xf numFmtId="0" fontId="1" fillId="0" borderId="2" xfId="55" applyFont="1" applyBorder="1" quotePrefix="1">
      <alignment vertical="center" wrapText="1"/>
    </xf>
  </cellXfs>
  <cellStyles count="6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Comma 2" xfId="49"/>
    <cellStyle name="Normal 2" xfId="50"/>
    <cellStyle name="Percent 2" xfId="51"/>
    <cellStyle name="百分比 2" xfId="52"/>
    <cellStyle name="百分比 3" xfId="53"/>
    <cellStyle name="常规 2" xfId="54"/>
    <cellStyle name="常规 2 2" xfId="55"/>
    <cellStyle name="常规 20" xfId="56"/>
    <cellStyle name="常规 3" xfId="57"/>
    <cellStyle name="常规 4" xfId="58"/>
    <cellStyle name="常规 5" xfId="59"/>
    <cellStyle name="千位分隔 2" xfId="60"/>
    <cellStyle name="千位分隔 2 2 4" xfId="61"/>
    <cellStyle name="千位分隔 3" xfId="62"/>
    <cellStyle name="千位分隔 4" xfId="63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146685</xdr:colOff>
      <xdr:row>2</xdr:row>
      <xdr:rowOff>49530</xdr:rowOff>
    </xdr:from>
    <xdr:to>
      <xdr:col>3</xdr:col>
      <xdr:colOff>2098675</xdr:colOff>
      <xdr:row>2</xdr:row>
      <xdr:rowOff>1728470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62120" y="1066800"/>
          <a:ext cx="1951990" cy="1678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85725</xdr:colOff>
      <xdr:row>3</xdr:row>
      <xdr:rowOff>43180</xdr:rowOff>
    </xdr:from>
    <xdr:to>
      <xdr:col>3</xdr:col>
      <xdr:colOff>2162175</xdr:colOff>
      <xdr:row>3</xdr:row>
      <xdr:rowOff>1490345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201160" y="2901315"/>
          <a:ext cx="2076450" cy="14471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ST\P&amp;L%20Promotion\Mooncake\2017\&#26376;&#39292;&#37319;&#36141;&#26126;&#32454;2017092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视同销售"/>
      <sheetName val="Consumption Analysis"/>
      <sheetName val="Sheet1"/>
      <sheetName val="物品代码"/>
      <sheetName val="ACTUAL VS FORECAST"/>
      <sheetName val="2017月饼盒"/>
      <sheetName val="2017Mooncake Unit Cost"/>
      <sheetName val="ENT"/>
      <sheetName val="ENT."/>
      <sheetName val="视同销售VAT"/>
      <sheetName val="transfer to Staff"/>
    </sheetNames>
    <sheetDataSet>
      <sheetData sheetId="0"/>
      <sheetData sheetId="1"/>
      <sheetData sheetId="2"/>
      <sheetData sheetId="3">
        <row r="1">
          <cell r="A1" t="str">
            <v>2017月饼相关采购明细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2">
          <cell r="L2">
            <v>20170922</v>
          </cell>
          <cell r="M2">
            <v>0</v>
          </cell>
        </row>
        <row r="3">
          <cell r="A3" t="str">
            <v>代码</v>
          </cell>
          <cell r="B3" t="str">
            <v>名称</v>
          </cell>
          <cell r="C3" t="str">
            <v>英文名称</v>
          </cell>
          <cell r="D3" t="str">
            <v>规格</v>
          </cell>
          <cell r="E3" t="str">
            <v>单位</v>
          </cell>
          <cell r="F3" t="str">
            <v>单价</v>
          </cell>
          <cell r="G3" t="str">
            <v>数量</v>
          </cell>
          <cell r="H3" t="str">
            <v>成本</v>
          </cell>
          <cell r="I3" t="str">
            <v>上次供货商</v>
          </cell>
          <cell r="J3" t="str">
            <v>上次供货时间</v>
          </cell>
          <cell r="K3" t="str">
            <v>库存科目</v>
          </cell>
          <cell r="L3" t="str">
            <v>食品成本</v>
          </cell>
          <cell r="M3" t="str">
            <v>费用科目</v>
          </cell>
        </row>
        <row r="4">
          <cell r="A4" t="str">
            <v>10910015</v>
          </cell>
          <cell r="B4" t="str">
            <v>蛋黄白莲蓉月饼</v>
          </cell>
          <cell r="C4" t="str">
            <v>White lotus yolk moom cake</v>
          </cell>
          <cell r="D4" t="str">
            <v>60克</v>
          </cell>
          <cell r="E4" t="str">
            <v>EA/个</v>
          </cell>
          <cell r="F4">
            <v>3.34</v>
          </cell>
          <cell r="G4">
            <v>2840</v>
          </cell>
          <cell r="H4">
            <v>9485.6</v>
          </cell>
          <cell r="I4" t="str">
            <v>深圳市大嘉华食品实业有限公司</v>
          </cell>
          <cell r="J4" t="str">
            <v>2017-09-21</v>
          </cell>
          <cell r="K4" t="str">
            <v>1501001</v>
          </cell>
          <cell r="L4" t="str">
            <v>4101001</v>
          </cell>
          <cell r="M4" t="str">
            <v>4999999</v>
          </cell>
        </row>
        <row r="5">
          <cell r="A5" t="str">
            <v>10910016</v>
          </cell>
          <cell r="B5" t="str">
            <v>果仁豆沙月饼</v>
          </cell>
          <cell r="C5" t="str">
            <v>Red Beanmoon cake</v>
          </cell>
          <cell r="D5" t="str">
            <v>60克</v>
          </cell>
          <cell r="E5" t="str">
            <v>EA/个</v>
          </cell>
          <cell r="F5">
            <v>3.42</v>
          </cell>
          <cell r="G5">
            <v>2840</v>
          </cell>
          <cell r="H5">
            <v>9712.8</v>
          </cell>
          <cell r="I5" t="str">
            <v>深圳市大嘉华食品实业有限公司</v>
          </cell>
          <cell r="J5" t="str">
            <v>2017-09-21</v>
          </cell>
          <cell r="K5" t="str">
            <v>1501001</v>
          </cell>
          <cell r="L5" t="str">
            <v>4101001</v>
          </cell>
          <cell r="M5" t="str">
            <v>4999999</v>
          </cell>
        </row>
        <row r="6">
          <cell r="A6" t="str">
            <v>10910017</v>
          </cell>
          <cell r="B6" t="str">
            <v>茉莉花茶蓉月饼</v>
          </cell>
          <cell r="C6" t="str">
            <v>Jasminemoon cake</v>
          </cell>
          <cell r="D6" t="str">
            <v>60克</v>
          </cell>
          <cell r="E6" t="str">
            <v>EA/个</v>
          </cell>
          <cell r="F6">
            <v>3.248</v>
          </cell>
          <cell r="G6">
            <v>1000</v>
          </cell>
          <cell r="H6">
            <v>3248</v>
          </cell>
          <cell r="I6" t="str">
            <v>深圳市大嘉华食品实业有限公司</v>
          </cell>
          <cell r="J6" t="str">
            <v>2017-09-21</v>
          </cell>
          <cell r="K6" t="str">
            <v>1501001</v>
          </cell>
          <cell r="L6" t="str">
            <v>4101001</v>
          </cell>
          <cell r="M6" t="str">
            <v>4999999</v>
          </cell>
        </row>
        <row r="7">
          <cell r="A7" t="str">
            <v>10910018</v>
          </cell>
          <cell r="B7" t="str">
            <v>鲜花馅系列月饼</v>
          </cell>
          <cell r="C7" t="str">
            <v>Flowermoon cake</v>
          </cell>
          <cell r="D7" t="str">
            <v>60克</v>
          </cell>
          <cell r="E7" t="str">
            <v>EA/个</v>
          </cell>
          <cell r="F7">
            <v>3.25</v>
          </cell>
          <cell r="G7">
            <v>2840</v>
          </cell>
          <cell r="H7">
            <v>9230</v>
          </cell>
          <cell r="I7" t="str">
            <v>深圳市大嘉华食品实业有限公司</v>
          </cell>
          <cell r="J7" t="str">
            <v>2017-09-21</v>
          </cell>
          <cell r="K7" t="str">
            <v>1501001</v>
          </cell>
          <cell r="L7" t="str">
            <v>4101001</v>
          </cell>
          <cell r="M7" t="str">
            <v>4999999</v>
          </cell>
        </row>
        <row r="8">
          <cell r="A8" t="str">
            <v>10910019</v>
          </cell>
          <cell r="B8" t="str">
            <v>金腿伍仁月饼</v>
          </cell>
          <cell r="C8" t="str">
            <v>Hammoon cake</v>
          </cell>
          <cell r="D8" t="str">
            <v>60克</v>
          </cell>
          <cell r="E8" t="str">
            <v>EA/个</v>
          </cell>
          <cell r="F8">
            <v>3.761</v>
          </cell>
          <cell r="G8">
            <v>1000</v>
          </cell>
          <cell r="H8">
            <v>3761</v>
          </cell>
          <cell r="I8" t="str">
            <v>深圳市大嘉华食品实业有限公司</v>
          </cell>
          <cell r="J8" t="str">
            <v>2017-09-21</v>
          </cell>
          <cell r="K8" t="str">
            <v>1501001</v>
          </cell>
          <cell r="L8" t="str">
            <v>4101001</v>
          </cell>
          <cell r="M8" t="str">
            <v>4999999</v>
          </cell>
        </row>
        <row r="9">
          <cell r="A9" t="str">
            <v>10910020</v>
          </cell>
          <cell r="B9" t="str">
            <v>纯正莲蓉月饼</v>
          </cell>
          <cell r="C9" t="str">
            <v>Plain Lotusmoon cake</v>
          </cell>
          <cell r="D9" t="str">
            <v>60克</v>
          </cell>
          <cell r="E9" t="str">
            <v>EA/个</v>
          </cell>
          <cell r="F9">
            <v>3.08</v>
          </cell>
          <cell r="G9">
            <v>2840</v>
          </cell>
          <cell r="H9">
            <v>8747.2</v>
          </cell>
          <cell r="I9" t="str">
            <v>深圳市大嘉华食品实业有限公司</v>
          </cell>
          <cell r="J9" t="str">
            <v>2017-09-21</v>
          </cell>
          <cell r="K9" t="str">
            <v>1501001</v>
          </cell>
          <cell r="L9" t="str">
            <v>4101001</v>
          </cell>
          <cell r="M9" t="str">
            <v>4999999</v>
          </cell>
        </row>
        <row r="10">
          <cell r="A10" t="str">
            <v>10910021</v>
          </cell>
          <cell r="B10" t="str">
            <v>椰皇蓉月饼</v>
          </cell>
          <cell r="C10" t="str">
            <v>Coconutmoon cake</v>
          </cell>
          <cell r="D10" t="str">
            <v>60克</v>
          </cell>
          <cell r="E10" t="str">
            <v>EA/个</v>
          </cell>
          <cell r="F10">
            <v>3.25</v>
          </cell>
          <cell r="G10">
            <v>2840</v>
          </cell>
          <cell r="H10">
            <v>9230</v>
          </cell>
          <cell r="I10" t="str">
            <v>深圳市大嘉华食品实业有限公司</v>
          </cell>
          <cell r="J10" t="str">
            <v>2017-09-21</v>
          </cell>
          <cell r="K10" t="str">
            <v>1501001</v>
          </cell>
          <cell r="L10" t="str">
            <v>4101001</v>
          </cell>
          <cell r="M10" t="str">
            <v>4999999</v>
          </cell>
        </row>
        <row r="11">
          <cell r="A11" t="str">
            <v>10910022</v>
          </cell>
          <cell r="B11" t="str">
            <v>香辣牛肉月饼</v>
          </cell>
          <cell r="C11" t="str">
            <v>Spicy Beefmoon cake</v>
          </cell>
          <cell r="D11" t="str">
            <v>60克</v>
          </cell>
          <cell r="E11" t="str">
            <v>EA/个</v>
          </cell>
          <cell r="F11">
            <v>4.02</v>
          </cell>
          <cell r="G11">
            <v>2840</v>
          </cell>
          <cell r="H11">
            <v>11416.8</v>
          </cell>
          <cell r="I11" t="str">
            <v>深圳市大嘉华食品实业有限公司</v>
          </cell>
          <cell r="J11" t="str">
            <v>2017-09-21</v>
          </cell>
          <cell r="K11" t="str">
            <v>1501001</v>
          </cell>
          <cell r="L11" t="str">
            <v>4101001</v>
          </cell>
          <cell r="M11" t="str">
            <v>4999999</v>
          </cell>
        </row>
        <row r="12">
          <cell r="A12" t="str">
            <v>10910023</v>
          </cell>
          <cell r="B12" t="str">
            <v>XO干贝月饼</v>
          </cell>
          <cell r="C12" t="str">
            <v>XO Scallopmoon cake</v>
          </cell>
          <cell r="D12" t="str">
            <v>60克</v>
          </cell>
          <cell r="E12" t="str">
            <v>EA/个</v>
          </cell>
          <cell r="F12">
            <v>3.846</v>
          </cell>
          <cell r="G12">
            <v>1000</v>
          </cell>
          <cell r="H12">
            <v>3846</v>
          </cell>
          <cell r="I12" t="str">
            <v>深圳市大嘉华食品实业有限公司</v>
          </cell>
          <cell r="J12" t="str">
            <v>2017-09-21</v>
          </cell>
          <cell r="K12" t="str">
            <v>1501001</v>
          </cell>
          <cell r="L12" t="str">
            <v>4101001</v>
          </cell>
          <cell r="M12" t="str">
            <v>4999999</v>
          </cell>
        </row>
        <row r="13">
          <cell r="A13" t="str">
            <v>10910024</v>
          </cell>
          <cell r="B13" t="str">
            <v>蛋黄白莲蓉月饼</v>
          </cell>
          <cell r="C13" t="str">
            <v>White lotus yolk moom cake</v>
          </cell>
          <cell r="D13" t="str">
            <v>80克</v>
          </cell>
          <cell r="E13" t="str">
            <v>EA/个</v>
          </cell>
          <cell r="F13">
            <v>4.017</v>
          </cell>
          <cell r="G13">
            <v>1200</v>
          </cell>
          <cell r="H13">
            <v>4820.4</v>
          </cell>
          <cell r="I13" t="str">
            <v>深圳市大嘉华食品实业有限公司</v>
          </cell>
          <cell r="J13" t="str">
            <v>2017-09-21</v>
          </cell>
          <cell r="K13" t="str">
            <v>1501001</v>
          </cell>
          <cell r="L13" t="str">
            <v>4101001</v>
          </cell>
          <cell r="M13" t="str">
            <v>4999999</v>
          </cell>
        </row>
        <row r="14">
          <cell r="A14" t="str">
            <v>10910025</v>
          </cell>
          <cell r="B14" t="str">
            <v>果仁豆沙月饼</v>
          </cell>
          <cell r="C14" t="str">
            <v>Red Beanmoon cake</v>
          </cell>
          <cell r="D14" t="str">
            <v>80克</v>
          </cell>
          <cell r="E14" t="str">
            <v>EA/个</v>
          </cell>
          <cell r="F14">
            <v>3.846</v>
          </cell>
          <cell r="G14">
            <v>1200</v>
          </cell>
          <cell r="H14">
            <v>4615.2</v>
          </cell>
          <cell r="I14" t="str">
            <v>深圳市大嘉华食品实业有限公司</v>
          </cell>
          <cell r="J14" t="str">
            <v>2017-09-21</v>
          </cell>
          <cell r="K14" t="str">
            <v>1501001</v>
          </cell>
          <cell r="L14" t="str">
            <v>4101001</v>
          </cell>
          <cell r="M14" t="str">
            <v>4999999</v>
          </cell>
        </row>
        <row r="15">
          <cell r="A15" t="str">
            <v>10910026</v>
          </cell>
          <cell r="B15" t="str">
            <v>鲜花馅系列月饼</v>
          </cell>
          <cell r="C15" t="str">
            <v>Flowermoon cake</v>
          </cell>
          <cell r="D15" t="str">
            <v>80克</v>
          </cell>
          <cell r="E15" t="str">
            <v>EA/个</v>
          </cell>
          <cell r="F15">
            <v>3.846</v>
          </cell>
          <cell r="G15">
            <v>1200</v>
          </cell>
          <cell r="H15">
            <v>4615.2</v>
          </cell>
          <cell r="I15" t="str">
            <v>深圳市大嘉华食品实业有限公司</v>
          </cell>
          <cell r="J15" t="str">
            <v>2017-09-21</v>
          </cell>
          <cell r="K15" t="str">
            <v>1501001</v>
          </cell>
          <cell r="L15" t="str">
            <v>4101001</v>
          </cell>
          <cell r="M15" t="str">
            <v>4999999</v>
          </cell>
        </row>
        <row r="16">
          <cell r="A16" t="str">
            <v>10910027</v>
          </cell>
          <cell r="B16" t="str">
            <v>金腿伍仁月饼</v>
          </cell>
          <cell r="C16" t="str">
            <v>Hammoon cake</v>
          </cell>
          <cell r="D16" t="str">
            <v>80克</v>
          </cell>
          <cell r="E16" t="str">
            <v>EA/个</v>
          </cell>
          <cell r="F16">
            <v>4.53</v>
          </cell>
          <cell r="G16">
            <v>1200</v>
          </cell>
          <cell r="H16">
            <v>5436</v>
          </cell>
          <cell r="I16" t="str">
            <v>深圳市大嘉华食品实业有限公司</v>
          </cell>
          <cell r="J16" t="str">
            <v>2017-09-21</v>
          </cell>
          <cell r="K16" t="str">
            <v>1501001</v>
          </cell>
          <cell r="L16" t="str">
            <v>4101001</v>
          </cell>
          <cell r="M16" t="str">
            <v>4999999</v>
          </cell>
        </row>
        <row r="17">
          <cell r="A17" t="str">
            <v>10910028</v>
          </cell>
          <cell r="B17" t="str">
            <v>香辣牛肉月饼</v>
          </cell>
          <cell r="C17" t="str">
            <v>Spicy Beefmoon cake</v>
          </cell>
          <cell r="D17" t="str">
            <v>80克</v>
          </cell>
          <cell r="E17" t="str">
            <v>EA/个</v>
          </cell>
          <cell r="F17">
            <v>4.615</v>
          </cell>
          <cell r="G17">
            <v>1200</v>
          </cell>
          <cell r="H17">
            <v>5538</v>
          </cell>
          <cell r="I17" t="str">
            <v>深圳市大嘉华食品实业有限公司</v>
          </cell>
          <cell r="J17" t="str">
            <v>2017-09-21</v>
          </cell>
          <cell r="K17" t="str">
            <v>1501001</v>
          </cell>
          <cell r="L17" t="str">
            <v>4101001</v>
          </cell>
          <cell r="M17" t="str">
            <v>4999999</v>
          </cell>
        </row>
        <row r="18">
          <cell r="A18" t="str">
            <v>10910029</v>
          </cell>
          <cell r="B18" t="str">
            <v>XO干贝月饼</v>
          </cell>
          <cell r="C18" t="str">
            <v>XO Scallopmoon cake</v>
          </cell>
          <cell r="D18" t="str">
            <v>80克</v>
          </cell>
          <cell r="E18" t="str">
            <v>EA/个</v>
          </cell>
          <cell r="F18">
            <v>4.615</v>
          </cell>
          <cell r="G18">
            <v>1200</v>
          </cell>
          <cell r="H18">
            <v>5538</v>
          </cell>
          <cell r="I18" t="str">
            <v>深圳市大嘉华食品实业有限公司</v>
          </cell>
          <cell r="J18" t="str">
            <v>2017-09-21</v>
          </cell>
          <cell r="K18" t="str">
            <v>1501001</v>
          </cell>
          <cell r="L18" t="str">
            <v>4101001</v>
          </cell>
          <cell r="M18" t="str">
            <v>4999999</v>
          </cell>
        </row>
        <row r="19">
          <cell r="A19" t="str">
            <v>40120868</v>
          </cell>
          <cell r="B19" t="str">
            <v>月饼销售柜</v>
          </cell>
          <cell r="C19" t="str">
            <v>Moon Cake Sales Counter</v>
          </cell>
          <cell r="D19" t="str">
            <v>1.3m*1.5m*0.5m</v>
          </cell>
          <cell r="E19" t="str">
            <v>EA/个</v>
          </cell>
          <cell r="F19">
            <v>4500</v>
          </cell>
          <cell r="G19">
            <v>1</v>
          </cell>
          <cell r="H19">
            <v>4500</v>
          </cell>
          <cell r="I19" t="str">
            <v>成都市美特雷斯广告有限公司</v>
          </cell>
          <cell r="J19" t="str">
            <v>2017-08-22</v>
          </cell>
          <cell r="K19" t="str">
            <v>4999999</v>
          </cell>
          <cell r="L19" t="str">
            <v>4999999</v>
          </cell>
          <cell r="M19" t="str">
            <v>6600127</v>
          </cell>
        </row>
        <row r="20">
          <cell r="A20" t="str">
            <v>40410134</v>
          </cell>
          <cell r="B20" t="str">
            <v>月饼宣传单页</v>
          </cell>
          <cell r="C20" t="str">
            <v>Mooncake Flyer</v>
          </cell>
          <cell r="D20" t="str">
            <v>145*275mm</v>
          </cell>
          <cell r="E20" t="str">
            <v>Pc/张</v>
          </cell>
          <cell r="F20">
            <v>1.2</v>
          </cell>
          <cell r="G20">
            <v>400</v>
          </cell>
          <cell r="H20">
            <v>480</v>
          </cell>
          <cell r="I20" t="str">
            <v>成都必达印务有限公司</v>
          </cell>
          <cell r="J20" t="str">
            <v>2017-08-03</v>
          </cell>
          <cell r="K20" t="str">
            <v>1501009</v>
          </cell>
          <cell r="L20" t="str">
            <v>4999999</v>
          </cell>
          <cell r="M20" t="str">
            <v>1901004</v>
          </cell>
        </row>
        <row r="21">
          <cell r="A21" t="str">
            <v>40410181</v>
          </cell>
          <cell r="B21" t="str">
            <v>月饼礼券</v>
          </cell>
          <cell r="C21" t="str">
            <v>Mooncake Voucher</v>
          </cell>
          <cell r="D21" t="str">
            <v>210*75mm</v>
          </cell>
          <cell r="E21" t="str">
            <v>Pc/张</v>
          </cell>
          <cell r="F21">
            <v>0.63</v>
          </cell>
          <cell r="G21">
            <v>3200</v>
          </cell>
          <cell r="H21">
            <v>2016</v>
          </cell>
          <cell r="I21" t="str">
            <v>成都润美平面设计有限公司</v>
          </cell>
          <cell r="J21" t="str">
            <v>2017-08-16</v>
          </cell>
          <cell r="K21" t="str">
            <v>4999999</v>
          </cell>
          <cell r="L21" t="str">
            <v>4999999</v>
          </cell>
          <cell r="M21" t="str">
            <v>6000117</v>
          </cell>
        </row>
        <row r="22">
          <cell r="A22" t="str">
            <v>40410182</v>
          </cell>
          <cell r="B22" t="str">
            <v>月饼礼券信封</v>
          </cell>
          <cell r="C22" t="str">
            <v>Mooncake Voucher Envelope</v>
          </cell>
          <cell r="D22" t="str">
            <v>220*95mm</v>
          </cell>
          <cell r="E22" t="str">
            <v>Pc/张</v>
          </cell>
          <cell r="F22">
            <v>0.65</v>
          </cell>
          <cell r="G22">
            <v>3200</v>
          </cell>
          <cell r="H22">
            <v>2080</v>
          </cell>
          <cell r="I22" t="str">
            <v>成都润美平面设计有限公司</v>
          </cell>
          <cell r="J22" t="str">
            <v>2017-08-16</v>
          </cell>
          <cell r="K22" t="str">
            <v>4999999</v>
          </cell>
          <cell r="L22" t="str">
            <v>4999999</v>
          </cell>
          <cell r="M22" t="str">
            <v>6000117</v>
          </cell>
        </row>
        <row r="23">
          <cell r="A23" t="str">
            <v>40410185</v>
          </cell>
          <cell r="B23" t="str">
            <v>轩月月饼盒</v>
          </cell>
          <cell r="C23" t="str">
            <v>Deluxe Mooncake Box</v>
          </cell>
          <cell r="D23" t="str">
            <v>香港总部设计Osmanthus Gold(6 pcs - 60gm/80gm)</v>
          </cell>
          <cell r="E23" t="str">
            <v>pc/个</v>
          </cell>
          <cell r="F23">
            <v>2.2</v>
          </cell>
          <cell r="G23">
            <v>1440</v>
          </cell>
          <cell r="H23">
            <v>3168</v>
          </cell>
          <cell r="I23" t="str">
            <v>成都润美平面设计有限公司</v>
          </cell>
          <cell r="J23" t="str">
            <v>2017-09-21</v>
          </cell>
          <cell r="K23" t="str">
            <v>1501009</v>
          </cell>
          <cell r="L23" t="str">
            <v>4999999</v>
          </cell>
          <cell r="M23" t="str">
            <v>1901004</v>
          </cell>
        </row>
        <row r="24">
          <cell r="A24" t="str">
            <v>40410186</v>
          </cell>
          <cell r="B24" t="str">
            <v>初月月饼盒</v>
          </cell>
          <cell r="C24" t="str">
            <v>Piccolo Mooncakes Box</v>
          </cell>
          <cell r="D24" t="str">
            <v>香港总部设计(6 pcs- 60gm/80gm)Piccolo</v>
          </cell>
          <cell r="E24" t="str">
            <v>pc/个</v>
          </cell>
          <cell r="F24">
            <v>20.51</v>
          </cell>
          <cell r="G24">
            <v>600</v>
          </cell>
          <cell r="H24">
            <v>12306</v>
          </cell>
          <cell r="I24" t="str">
            <v>成都润美平面设计有限公司</v>
          </cell>
          <cell r="J24" t="str">
            <v>2017-09-21</v>
          </cell>
          <cell r="K24" t="str">
            <v>1501009</v>
          </cell>
          <cell r="L24" t="str">
            <v>4999999</v>
          </cell>
          <cell r="M24" t="str">
            <v>1901004</v>
          </cell>
        </row>
        <row r="25">
          <cell r="A25" t="str">
            <v>40410189</v>
          </cell>
          <cell r="B25" t="str">
            <v>初月月饼手提袋</v>
          </cell>
          <cell r="C25" t="str">
            <v>Piccolo Mooncakes shopping bag</v>
          </cell>
          <cell r="D25" t="str">
            <v>香港总部设计Piccolo shopping bag for 6pcs</v>
          </cell>
          <cell r="E25" t="str">
            <v>pc/个</v>
          </cell>
          <cell r="F25">
            <v>2.56</v>
          </cell>
          <cell r="G25">
            <v>600</v>
          </cell>
          <cell r="H25">
            <v>1536</v>
          </cell>
          <cell r="I25" t="str">
            <v>成都润美平面设计有限公司</v>
          </cell>
          <cell r="J25" t="str">
            <v>2017-09-21</v>
          </cell>
          <cell r="K25" t="str">
            <v>1501009</v>
          </cell>
          <cell r="L25" t="str">
            <v>4999999</v>
          </cell>
          <cell r="M25" t="str">
            <v>1901004</v>
          </cell>
        </row>
        <row r="26">
          <cell r="A26" t="str">
            <v>40410199</v>
          </cell>
          <cell r="B26" t="str">
            <v>2017欣月月饼盒</v>
          </cell>
          <cell r="C26" t="str">
            <v>2017Mooncake Box</v>
          </cell>
          <cell r="D26">
            <v>0</v>
          </cell>
          <cell r="E26" t="str">
            <v>EA/个</v>
          </cell>
          <cell r="F26">
            <v>20.51</v>
          </cell>
          <cell r="G26">
            <v>1000</v>
          </cell>
          <cell r="H26">
            <v>20510</v>
          </cell>
          <cell r="I26" t="str">
            <v>成都润美平面设计有限公司</v>
          </cell>
          <cell r="J26" t="str">
            <v>2017-09-21</v>
          </cell>
          <cell r="K26" t="str">
            <v>1501009</v>
          </cell>
          <cell r="L26" t="str">
            <v>4999999</v>
          </cell>
          <cell r="M26" t="str">
            <v>1901004</v>
          </cell>
        </row>
        <row r="27">
          <cell r="A27" t="str">
            <v>40410200</v>
          </cell>
          <cell r="B27" t="str">
            <v>2017轩月月饼盒</v>
          </cell>
          <cell r="C27" t="str">
            <v>2017Mooncake Box</v>
          </cell>
          <cell r="D27">
            <v>0</v>
          </cell>
          <cell r="E27" t="str">
            <v>EA/个</v>
          </cell>
          <cell r="F27">
            <v>17.09</v>
          </cell>
          <cell r="G27">
            <v>1200</v>
          </cell>
          <cell r="H27">
            <v>20508</v>
          </cell>
          <cell r="I27" t="str">
            <v>成都润美平面设计有限公司</v>
          </cell>
          <cell r="J27" t="str">
            <v>2017-09-21</v>
          </cell>
          <cell r="K27" t="str">
            <v>1501009</v>
          </cell>
          <cell r="L27" t="str">
            <v>4999999</v>
          </cell>
          <cell r="M27" t="str">
            <v>1901004</v>
          </cell>
        </row>
        <row r="28">
          <cell r="A28" t="str">
            <v>40410201</v>
          </cell>
          <cell r="B28" t="str">
            <v>2017初月月饼盒</v>
          </cell>
          <cell r="C28" t="str">
            <v>2017Mooncake Box</v>
          </cell>
          <cell r="D28">
            <v>0</v>
          </cell>
          <cell r="E28" t="str">
            <v>EA/个</v>
          </cell>
          <cell r="F28">
            <v>20.51</v>
          </cell>
          <cell r="G28">
            <v>1000</v>
          </cell>
          <cell r="H28">
            <v>20510</v>
          </cell>
          <cell r="I28" t="str">
            <v>成都润美平面设计有限公司</v>
          </cell>
          <cell r="J28" t="str">
            <v>2017-09-21</v>
          </cell>
          <cell r="K28" t="str">
            <v>1501009</v>
          </cell>
          <cell r="L28" t="str">
            <v>4999999</v>
          </cell>
          <cell r="M28" t="str">
            <v>1901004</v>
          </cell>
        </row>
        <row r="29">
          <cell r="A29" t="str">
            <v>40410202</v>
          </cell>
          <cell r="B29" t="str">
            <v>2017欣月月饼手提袋</v>
          </cell>
          <cell r="C29" t="str">
            <v>2017Mooncakes paper bag</v>
          </cell>
          <cell r="D29">
            <v>0</v>
          </cell>
          <cell r="E29" t="str">
            <v>EA/个</v>
          </cell>
          <cell r="F29">
            <v>2.56</v>
          </cell>
          <cell r="G29">
            <v>1000</v>
          </cell>
          <cell r="H29">
            <v>2560</v>
          </cell>
          <cell r="I29" t="str">
            <v>成都润美平面设计有限公司</v>
          </cell>
          <cell r="J29" t="str">
            <v>2017-09-21</v>
          </cell>
          <cell r="K29" t="str">
            <v>1501009</v>
          </cell>
          <cell r="L29" t="str">
            <v>4999999</v>
          </cell>
          <cell r="M29" t="str">
            <v>1901004</v>
          </cell>
        </row>
        <row r="30">
          <cell r="A30" t="str">
            <v>40410203</v>
          </cell>
          <cell r="B30" t="str">
            <v>2017轩月月饼手提袋</v>
          </cell>
          <cell r="C30" t="str">
            <v>2017Mooncakes paper bag</v>
          </cell>
          <cell r="D30">
            <v>0</v>
          </cell>
          <cell r="E30" t="str">
            <v>EA/个</v>
          </cell>
          <cell r="F30">
            <v>2.56</v>
          </cell>
          <cell r="G30">
            <v>1200</v>
          </cell>
          <cell r="H30">
            <v>3072</v>
          </cell>
          <cell r="I30" t="str">
            <v>成都润美平面设计有限公司</v>
          </cell>
          <cell r="J30" t="str">
            <v>2017-09-21</v>
          </cell>
          <cell r="K30" t="str">
            <v>1501009</v>
          </cell>
          <cell r="L30" t="str">
            <v>4999999</v>
          </cell>
          <cell r="M30" t="str">
            <v>1901004</v>
          </cell>
        </row>
        <row r="31">
          <cell r="A31" t="str">
            <v>40410204</v>
          </cell>
          <cell r="B31" t="str">
            <v>2017初月月饼手提袋</v>
          </cell>
          <cell r="C31" t="str">
            <v>2017Mooncakes paper bag</v>
          </cell>
          <cell r="D31">
            <v>0</v>
          </cell>
          <cell r="E31" t="str">
            <v>EA/个</v>
          </cell>
          <cell r="F31">
            <v>2.56</v>
          </cell>
          <cell r="G31">
            <v>1000</v>
          </cell>
          <cell r="H31">
            <v>2560</v>
          </cell>
          <cell r="I31" t="str">
            <v>成都润美平面设计有限公司</v>
          </cell>
          <cell r="J31" t="str">
            <v>2017-09-21</v>
          </cell>
          <cell r="K31" t="str">
            <v>1501009</v>
          </cell>
          <cell r="L31" t="str">
            <v>4999999</v>
          </cell>
          <cell r="M31" t="str">
            <v>1901004</v>
          </cell>
        </row>
        <row r="32">
          <cell r="A32" t="str">
            <v>40410118</v>
          </cell>
          <cell r="B32" t="str">
            <v>账单夹宣传页(月饼）</v>
          </cell>
          <cell r="C32" t="str">
            <v>Bill Folder Flyer</v>
          </cell>
          <cell r="D32" t="str">
            <v>115*210mm</v>
          </cell>
          <cell r="E32" t="str">
            <v>PCS/张</v>
          </cell>
          <cell r="F32">
            <v>1.2</v>
          </cell>
          <cell r="G32">
            <v>600</v>
          </cell>
          <cell r="H32">
            <v>720</v>
          </cell>
          <cell r="I32" t="str">
            <v>成都市武侯区华典图像设计印务部</v>
          </cell>
          <cell r="J32" t="str">
            <v>2017-08-03</v>
          </cell>
          <cell r="K32" t="str">
            <v>1501009</v>
          </cell>
          <cell r="L32" t="str">
            <v>4999999</v>
          </cell>
          <cell r="M32" t="str">
            <v>6000117</v>
          </cell>
        </row>
        <row r="33">
          <cell r="A33" t="str">
            <v>40430014</v>
          </cell>
          <cell r="B33" t="str">
            <v>宣传海报</v>
          </cell>
          <cell r="C33" t="str">
            <v>Poster</v>
          </cell>
          <cell r="D33" t="str">
            <v>68x120cm</v>
          </cell>
          <cell r="E33" t="str">
            <v>Pc/张</v>
          </cell>
          <cell r="F33">
            <v>39</v>
          </cell>
          <cell r="G33">
            <v>5</v>
          </cell>
          <cell r="H33">
            <v>195</v>
          </cell>
          <cell r="I33" t="str">
            <v>青羊区迎宾平面设计工作室</v>
          </cell>
          <cell r="J33" t="str">
            <v>2017-09-22</v>
          </cell>
          <cell r="K33" t="str">
            <v>4999999</v>
          </cell>
          <cell r="L33" t="str">
            <v>4999999</v>
          </cell>
          <cell r="M33" t="str">
            <v>6501124</v>
          </cell>
        </row>
        <row r="34">
          <cell r="A34" t="str">
            <v>Total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195961.2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</sheetData>
      <sheetData sheetId="4">
        <row r="2">
          <cell r="B2">
            <v>0</v>
          </cell>
          <cell r="C2" t="str">
            <v>Chinese Name</v>
          </cell>
          <cell r="D2" t="str">
            <v>English Name</v>
          </cell>
          <cell r="E2" t="str">
            <v>Specification</v>
          </cell>
          <cell r="F2">
            <v>0</v>
          </cell>
          <cell r="G2" t="str">
            <v>Actual</v>
          </cell>
          <cell r="H2">
            <v>0</v>
          </cell>
          <cell r="I2">
            <v>0</v>
          </cell>
          <cell r="J2">
            <v>0</v>
          </cell>
          <cell r="K2" t="str">
            <v>Forecast</v>
          </cell>
          <cell r="L2">
            <v>0</v>
          </cell>
          <cell r="M2">
            <v>0</v>
          </cell>
          <cell r="N2" t="str">
            <v>variance</v>
          </cell>
          <cell r="O2" t="str">
            <v>Revenue</v>
          </cell>
        </row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 t="str">
            <v>Unit Price</v>
          </cell>
          <cell r="G3" t="str">
            <v>Qty.</v>
          </cell>
          <cell r="H3" t="str">
            <v>VAT%</v>
          </cell>
          <cell r="I3" t="str">
            <v>Cost
(Exclude VAT)</v>
          </cell>
          <cell r="J3" t="str">
            <v>Cost</v>
          </cell>
          <cell r="K3" t="str">
            <v>Qty.</v>
          </cell>
          <cell r="L3" t="str">
            <v>Cost
(Exclude VAT)</v>
          </cell>
          <cell r="M3" t="str">
            <v>Cost</v>
          </cell>
          <cell r="N3">
            <v>0</v>
          </cell>
          <cell r="O3">
            <v>0</v>
          </cell>
        </row>
        <row r="4">
          <cell r="B4" t="str">
            <v>10910015</v>
          </cell>
          <cell r="C4" t="str">
            <v>蛋黄白莲蓉60g</v>
          </cell>
          <cell r="D4" t="str">
            <v>White lotus yolk moom cake</v>
          </cell>
          <cell r="E4" t="str">
            <v>60克</v>
          </cell>
          <cell r="F4">
            <v>3.34</v>
          </cell>
          <cell r="G4">
            <v>767</v>
          </cell>
          <cell r="H4">
            <v>0.17</v>
          </cell>
          <cell r="I4">
            <v>2561.78</v>
          </cell>
          <cell r="J4">
            <v>2997.2826</v>
          </cell>
          <cell r="K4">
            <v>1000</v>
          </cell>
          <cell r="L4">
            <v>3340</v>
          </cell>
          <cell r="M4">
            <v>435502.6</v>
          </cell>
          <cell r="N4">
            <v>-432505.3174</v>
          </cell>
          <cell r="O4">
            <v>0</v>
          </cell>
          <cell r="P4">
            <v>2116</v>
          </cell>
        </row>
        <row r="5">
          <cell r="B5" t="str">
            <v>10910016</v>
          </cell>
          <cell r="C5" t="str">
            <v>果仁豆沙60g</v>
          </cell>
          <cell r="D5" t="str">
            <v>Red Beanmoon cake</v>
          </cell>
          <cell r="E5" t="str">
            <v>60克</v>
          </cell>
          <cell r="F5">
            <v>3.42</v>
          </cell>
          <cell r="G5">
            <v>767</v>
          </cell>
          <cell r="H5">
            <v>0.17</v>
          </cell>
          <cell r="I5">
            <v>2623.14</v>
          </cell>
          <cell r="J5">
            <v>3069.0738</v>
          </cell>
          <cell r="K5">
            <v>1000</v>
          </cell>
          <cell r="L5">
            <v>3420</v>
          </cell>
          <cell r="M5">
            <v>445933.8</v>
          </cell>
          <cell r="N5">
            <v>-442864.7262</v>
          </cell>
          <cell r="O5">
            <v>0</v>
          </cell>
          <cell r="P5">
            <v>2116</v>
          </cell>
        </row>
        <row r="6">
          <cell r="B6" t="str">
            <v>10910017</v>
          </cell>
          <cell r="C6" t="str">
            <v>茉莉花茶蓉60g</v>
          </cell>
          <cell r="D6" t="str">
            <v>Jasminemoon cake</v>
          </cell>
          <cell r="E6" t="str">
            <v>60克</v>
          </cell>
          <cell r="F6">
            <v>3.248</v>
          </cell>
          <cell r="G6">
            <v>767</v>
          </cell>
          <cell r="H6">
            <v>0.17</v>
          </cell>
          <cell r="I6">
            <v>2491.216</v>
          </cell>
          <cell r="J6">
            <v>2914.72272</v>
          </cell>
          <cell r="K6">
            <v>1000</v>
          </cell>
          <cell r="L6">
            <v>3248</v>
          </cell>
          <cell r="M6">
            <v>423506.72</v>
          </cell>
          <cell r="N6">
            <v>-420591.99728</v>
          </cell>
          <cell r="O6">
            <v>0</v>
          </cell>
          <cell r="P6">
            <v>767</v>
          </cell>
        </row>
        <row r="7">
          <cell r="B7" t="str">
            <v>10910018</v>
          </cell>
          <cell r="C7" t="str">
            <v>鲜花陷系列60g</v>
          </cell>
          <cell r="D7" t="str">
            <v>Flowermoon cake</v>
          </cell>
          <cell r="E7" t="str">
            <v>60克</v>
          </cell>
          <cell r="F7">
            <v>3.25</v>
          </cell>
          <cell r="G7">
            <v>767</v>
          </cell>
          <cell r="H7">
            <v>0.17</v>
          </cell>
          <cell r="I7">
            <v>2492.75</v>
          </cell>
          <cell r="J7">
            <v>2916.5175</v>
          </cell>
          <cell r="K7">
            <v>1000</v>
          </cell>
          <cell r="L7">
            <v>3250</v>
          </cell>
          <cell r="M7">
            <v>423767.5</v>
          </cell>
          <cell r="N7">
            <v>-420850.9825</v>
          </cell>
          <cell r="O7">
            <v>0</v>
          </cell>
          <cell r="P7">
            <v>2116</v>
          </cell>
        </row>
        <row r="8">
          <cell r="B8" t="str">
            <v>10910021</v>
          </cell>
          <cell r="C8" t="str">
            <v>椰皇蓉60g</v>
          </cell>
          <cell r="D8" t="str">
            <v>Coconutmoon cake</v>
          </cell>
          <cell r="E8" t="str">
            <v>60克</v>
          </cell>
          <cell r="F8">
            <v>3.25</v>
          </cell>
          <cell r="G8">
            <v>767</v>
          </cell>
          <cell r="H8">
            <v>0.17</v>
          </cell>
          <cell r="I8">
            <v>2492.75</v>
          </cell>
          <cell r="J8">
            <v>2916.5175</v>
          </cell>
          <cell r="K8">
            <v>1000</v>
          </cell>
          <cell r="L8">
            <v>3250</v>
          </cell>
          <cell r="M8">
            <v>423767.5</v>
          </cell>
          <cell r="N8">
            <v>-420850.9825</v>
          </cell>
          <cell r="O8">
            <v>0</v>
          </cell>
          <cell r="P8">
            <v>2116</v>
          </cell>
        </row>
        <row r="9">
          <cell r="B9" t="str">
            <v>10910019</v>
          </cell>
          <cell r="C9" t="str">
            <v>金腿伍仁60g</v>
          </cell>
          <cell r="D9" t="str">
            <v>Hammoon cake</v>
          </cell>
          <cell r="E9" t="str">
            <v>60克</v>
          </cell>
          <cell r="F9">
            <v>3.761</v>
          </cell>
          <cell r="G9">
            <v>767</v>
          </cell>
          <cell r="H9">
            <v>0.17</v>
          </cell>
          <cell r="I9">
            <v>2884.687</v>
          </cell>
          <cell r="J9">
            <v>3375.08379</v>
          </cell>
          <cell r="K9">
            <v>1000</v>
          </cell>
          <cell r="L9">
            <v>3761</v>
          </cell>
          <cell r="M9">
            <v>490396.79</v>
          </cell>
          <cell r="N9">
            <v>-487021.70621</v>
          </cell>
          <cell r="O9">
            <v>0</v>
          </cell>
          <cell r="P9">
            <v>767</v>
          </cell>
        </row>
        <row r="10">
          <cell r="B10" t="str">
            <v>10910020</v>
          </cell>
          <cell r="C10" t="str">
            <v>纯正红莲蓉60g</v>
          </cell>
          <cell r="D10" t="str">
            <v>Plain Lotusmoon cake</v>
          </cell>
          <cell r="E10" t="str">
            <v>60克</v>
          </cell>
          <cell r="F10">
            <v>3.08</v>
          </cell>
          <cell r="G10">
            <v>767</v>
          </cell>
          <cell r="H10">
            <v>0.17</v>
          </cell>
          <cell r="I10">
            <v>2362.36</v>
          </cell>
          <cell r="J10">
            <v>2763.9612</v>
          </cell>
          <cell r="K10">
            <v>1000</v>
          </cell>
          <cell r="L10">
            <v>3080</v>
          </cell>
          <cell r="M10">
            <v>401601.2</v>
          </cell>
          <cell r="N10">
            <v>-398837.2388</v>
          </cell>
          <cell r="O10">
            <v>0</v>
          </cell>
          <cell r="P10">
            <v>2116</v>
          </cell>
        </row>
        <row r="11">
          <cell r="B11" t="str">
            <v>10910022</v>
          </cell>
          <cell r="C11" t="str">
            <v>香辣牛肉60g</v>
          </cell>
          <cell r="D11" t="str">
            <v>Spicy Beefmoon cake</v>
          </cell>
          <cell r="E11" t="str">
            <v>60克</v>
          </cell>
          <cell r="F11">
            <v>4.02</v>
          </cell>
          <cell r="G11">
            <v>767</v>
          </cell>
          <cell r="H11">
            <v>0.17</v>
          </cell>
          <cell r="I11">
            <v>3083.34</v>
          </cell>
          <cell r="J11">
            <v>3607.5078</v>
          </cell>
          <cell r="K11">
            <v>1000</v>
          </cell>
          <cell r="L11">
            <v>4020</v>
          </cell>
          <cell r="M11">
            <v>524167.8</v>
          </cell>
          <cell r="N11">
            <v>-520560.2922</v>
          </cell>
          <cell r="O11">
            <v>0</v>
          </cell>
          <cell r="P11">
            <v>2116</v>
          </cell>
        </row>
        <row r="12">
          <cell r="B12" t="str">
            <v>10910023</v>
          </cell>
          <cell r="C12" t="str">
            <v>XO干贝60g</v>
          </cell>
          <cell r="D12" t="str">
            <v>XO Scallopmoon cake</v>
          </cell>
          <cell r="E12" t="str">
            <v>60克</v>
          </cell>
          <cell r="F12">
            <v>3.846</v>
          </cell>
          <cell r="G12">
            <v>767</v>
          </cell>
          <cell r="H12">
            <v>0.17</v>
          </cell>
          <cell r="I12">
            <v>2949.882</v>
          </cell>
          <cell r="J12">
            <v>3451.36194</v>
          </cell>
          <cell r="K12">
            <v>1000</v>
          </cell>
          <cell r="L12">
            <v>3846</v>
          </cell>
          <cell r="M12">
            <v>501479.94</v>
          </cell>
          <cell r="N12">
            <v>-498028.57806</v>
          </cell>
          <cell r="O12">
            <v>0</v>
          </cell>
          <cell r="P12">
            <v>767</v>
          </cell>
        </row>
        <row r="13">
          <cell r="B13" t="str">
            <v>40410199</v>
          </cell>
          <cell r="C13" t="str">
            <v>2017欣月月饼盒</v>
          </cell>
          <cell r="D13" t="str">
            <v>2017Mooncake Box</v>
          </cell>
          <cell r="E13">
            <v>0</v>
          </cell>
          <cell r="F13">
            <v>20.51</v>
          </cell>
          <cell r="G13">
            <v>767</v>
          </cell>
          <cell r="H13">
            <v>0.17</v>
          </cell>
          <cell r="I13">
            <v>15731.17</v>
          </cell>
          <cell r="J13">
            <v>18405.4689</v>
          </cell>
          <cell r="K13">
            <v>1000</v>
          </cell>
          <cell r="L13">
            <v>20510</v>
          </cell>
          <cell r="M13">
            <v>2674298.9</v>
          </cell>
          <cell r="N13">
            <v>-2655893.4311</v>
          </cell>
          <cell r="O13">
            <v>0</v>
          </cell>
          <cell r="P13">
            <v>767</v>
          </cell>
        </row>
        <row r="14">
          <cell r="B14" t="str">
            <v>40410202</v>
          </cell>
          <cell r="C14" t="str">
            <v>2017欣月月饼手提袋</v>
          </cell>
          <cell r="D14" t="str">
            <v>2017Mooncakes paper bag</v>
          </cell>
          <cell r="E14">
            <v>0</v>
          </cell>
          <cell r="F14">
            <v>2.56</v>
          </cell>
          <cell r="G14">
            <v>767</v>
          </cell>
          <cell r="H14">
            <v>0.17</v>
          </cell>
          <cell r="I14">
            <v>1963.52</v>
          </cell>
          <cell r="J14">
            <v>2297.3184</v>
          </cell>
          <cell r="K14">
            <v>1000</v>
          </cell>
          <cell r="L14">
            <v>2560</v>
          </cell>
          <cell r="M14">
            <v>333798.4</v>
          </cell>
          <cell r="N14">
            <v>-331501.0816</v>
          </cell>
          <cell r="O14">
            <v>0</v>
          </cell>
          <cell r="P14">
            <v>767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41636.595</v>
          </cell>
          <cell r="J15">
            <v>48714.81615</v>
          </cell>
          <cell r="K15">
            <v>0</v>
          </cell>
          <cell r="L15">
            <v>54285</v>
          </cell>
          <cell r="M15">
            <v>6642718.55</v>
          </cell>
          <cell r="N15">
            <v>-7029506.33385</v>
          </cell>
          <cell r="O15">
            <v>0</v>
          </cell>
          <cell r="P15">
            <v>0</v>
          </cell>
        </row>
        <row r="16">
          <cell r="B16" t="str">
            <v>10910024</v>
          </cell>
          <cell r="C16" t="str">
            <v>蛋黄白莲蓉80g</v>
          </cell>
          <cell r="D16" t="str">
            <v>White lotus yolk moom cake</v>
          </cell>
          <cell r="E16" t="str">
            <v>80克</v>
          </cell>
          <cell r="F16">
            <v>4.017</v>
          </cell>
          <cell r="G16">
            <v>1106</v>
          </cell>
          <cell r="H16">
            <v>0.17</v>
          </cell>
          <cell r="I16">
            <v>4442.802</v>
          </cell>
          <cell r="J16">
            <v>5198.07834</v>
          </cell>
          <cell r="K16">
            <v>1200</v>
          </cell>
          <cell r="L16">
            <v>4820.4</v>
          </cell>
          <cell r="M16">
            <v>906331.608</v>
          </cell>
          <cell r="N16">
            <v>-901133.52966</v>
          </cell>
          <cell r="O16">
            <v>0</v>
          </cell>
          <cell r="P16">
            <v>1106</v>
          </cell>
        </row>
        <row r="17">
          <cell r="B17" t="str">
            <v>10910025</v>
          </cell>
          <cell r="C17" t="str">
            <v>果仁豆沙80g</v>
          </cell>
          <cell r="D17" t="str">
            <v>Red Beanmoon cake</v>
          </cell>
          <cell r="E17" t="str">
            <v>80克</v>
          </cell>
          <cell r="F17">
            <v>3.846</v>
          </cell>
          <cell r="G17">
            <v>1106</v>
          </cell>
          <cell r="H17">
            <v>0.17</v>
          </cell>
          <cell r="I17">
            <v>4253.676</v>
          </cell>
          <cell r="J17">
            <v>4976.80092</v>
          </cell>
          <cell r="K17">
            <v>1200</v>
          </cell>
          <cell r="L17">
            <v>4615.2</v>
          </cell>
          <cell r="M17">
            <v>867749.904</v>
          </cell>
          <cell r="N17">
            <v>-862773.10308</v>
          </cell>
          <cell r="O17">
            <v>0</v>
          </cell>
          <cell r="P17">
            <v>1106</v>
          </cell>
        </row>
        <row r="18">
          <cell r="B18" t="str">
            <v>10910026</v>
          </cell>
          <cell r="C18" t="str">
            <v>鲜花陷系列80g</v>
          </cell>
          <cell r="D18" t="str">
            <v>Flowermoon cake</v>
          </cell>
          <cell r="E18" t="str">
            <v>80克</v>
          </cell>
          <cell r="F18">
            <v>3.846</v>
          </cell>
          <cell r="G18">
            <v>1106</v>
          </cell>
          <cell r="H18">
            <v>0.17</v>
          </cell>
          <cell r="I18">
            <v>4253.676</v>
          </cell>
          <cell r="J18">
            <v>4976.80092</v>
          </cell>
          <cell r="K18">
            <v>1200</v>
          </cell>
          <cell r="L18">
            <v>4615.2</v>
          </cell>
          <cell r="M18">
            <v>867749.904</v>
          </cell>
          <cell r="N18">
            <v>-862773.10308</v>
          </cell>
          <cell r="O18">
            <v>0</v>
          </cell>
          <cell r="P18">
            <v>1106</v>
          </cell>
        </row>
        <row r="19">
          <cell r="B19" t="str">
            <v>10910027</v>
          </cell>
          <cell r="C19" t="str">
            <v>金腿伍仁80g</v>
          </cell>
          <cell r="D19" t="str">
            <v>Hammoon cake</v>
          </cell>
          <cell r="E19" t="str">
            <v>80克</v>
          </cell>
          <cell r="F19">
            <v>4.53</v>
          </cell>
          <cell r="G19">
            <v>1106</v>
          </cell>
          <cell r="H19">
            <v>0.17</v>
          </cell>
          <cell r="I19">
            <v>5010.18</v>
          </cell>
          <cell r="J19">
            <v>5861.9106</v>
          </cell>
          <cell r="K19">
            <v>1200</v>
          </cell>
          <cell r="L19">
            <v>5436</v>
          </cell>
          <cell r="M19">
            <v>1022076.72</v>
          </cell>
          <cell r="N19">
            <v>-1016214.8094</v>
          </cell>
          <cell r="O19">
            <v>0</v>
          </cell>
          <cell r="P19">
            <v>1106</v>
          </cell>
        </row>
        <row r="20">
          <cell r="B20" t="str">
            <v>10910028</v>
          </cell>
          <cell r="C20" t="str">
            <v>香辣牛肉80g</v>
          </cell>
          <cell r="D20" t="str">
            <v>Spicy Beefmoon cake</v>
          </cell>
          <cell r="E20" t="str">
            <v>80克</v>
          </cell>
          <cell r="F20">
            <v>4.615</v>
          </cell>
          <cell r="G20">
            <v>1106</v>
          </cell>
          <cell r="H20">
            <v>0.17</v>
          </cell>
          <cell r="I20">
            <v>5104.19</v>
          </cell>
          <cell r="J20">
            <v>5971.9023</v>
          </cell>
          <cell r="K20">
            <v>1200</v>
          </cell>
          <cell r="L20">
            <v>5538</v>
          </cell>
          <cell r="M20">
            <v>1041254.76</v>
          </cell>
          <cell r="N20">
            <v>-1035282.8577</v>
          </cell>
          <cell r="O20">
            <v>0</v>
          </cell>
          <cell r="P20">
            <v>1106</v>
          </cell>
        </row>
        <row r="21">
          <cell r="B21" t="str">
            <v>10910029</v>
          </cell>
          <cell r="C21" t="str">
            <v>XO干贝80g</v>
          </cell>
          <cell r="D21" t="str">
            <v>XO Scallopmoon cake</v>
          </cell>
          <cell r="E21" t="str">
            <v>80克</v>
          </cell>
          <cell r="F21">
            <v>4.615</v>
          </cell>
          <cell r="G21">
            <v>1106</v>
          </cell>
          <cell r="H21">
            <v>0.17</v>
          </cell>
          <cell r="I21">
            <v>5104.19</v>
          </cell>
          <cell r="J21">
            <v>5971.9023</v>
          </cell>
          <cell r="K21">
            <v>1200</v>
          </cell>
          <cell r="L21">
            <v>5538</v>
          </cell>
          <cell r="M21">
            <v>1041254.76</v>
          </cell>
          <cell r="N21">
            <v>-1035282.8577</v>
          </cell>
          <cell r="O21">
            <v>0</v>
          </cell>
          <cell r="P21">
            <v>1106</v>
          </cell>
        </row>
        <row r="22">
          <cell r="B22" t="str">
            <v>40410200</v>
          </cell>
          <cell r="C22" t="str">
            <v>2017轩月月饼盒</v>
          </cell>
          <cell r="D22" t="str">
            <v>2017Mooncake Box</v>
          </cell>
          <cell r="E22">
            <v>0</v>
          </cell>
          <cell r="F22">
            <v>17.09</v>
          </cell>
          <cell r="G22">
            <v>1106</v>
          </cell>
          <cell r="H22">
            <v>0.17</v>
          </cell>
          <cell r="I22">
            <v>18901.54</v>
          </cell>
          <cell r="J22">
            <v>22114.8018</v>
          </cell>
          <cell r="K22">
            <v>1200</v>
          </cell>
          <cell r="L22">
            <v>20508</v>
          </cell>
          <cell r="M22">
            <v>3855914.16</v>
          </cell>
          <cell r="N22">
            <v>-3833799.3582</v>
          </cell>
          <cell r="O22">
            <v>0</v>
          </cell>
          <cell r="P22">
            <v>1106</v>
          </cell>
        </row>
        <row r="23">
          <cell r="B23" t="str">
            <v>40410203</v>
          </cell>
          <cell r="C23" t="str">
            <v>2017轩月月饼手提袋</v>
          </cell>
          <cell r="D23" t="str">
            <v>2017Mooncakes paper bag</v>
          </cell>
          <cell r="E23">
            <v>0</v>
          </cell>
          <cell r="F23">
            <v>2.56</v>
          </cell>
          <cell r="G23">
            <v>1106</v>
          </cell>
          <cell r="H23">
            <v>0.17</v>
          </cell>
          <cell r="I23">
            <v>2831.36</v>
          </cell>
          <cell r="J23">
            <v>3312.6912</v>
          </cell>
          <cell r="K23">
            <v>1200</v>
          </cell>
          <cell r="L23">
            <v>3072</v>
          </cell>
          <cell r="M23">
            <v>577597.44</v>
          </cell>
          <cell r="N23">
            <v>-574284.7488</v>
          </cell>
          <cell r="O23">
            <v>0</v>
          </cell>
          <cell r="P23">
            <v>1106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49901.614</v>
          </cell>
          <cell r="J24">
            <v>58384.88838</v>
          </cell>
          <cell r="K24">
            <v>0</v>
          </cell>
          <cell r="L24">
            <v>54142.8</v>
          </cell>
          <cell r="M24">
            <v>10179929.256</v>
          </cell>
          <cell r="N24">
            <v>-10121544.36762</v>
          </cell>
          <cell r="O24">
            <v>0</v>
          </cell>
          <cell r="P24">
            <v>0</v>
          </cell>
        </row>
        <row r="25">
          <cell r="B25" t="str">
            <v>10910015</v>
          </cell>
          <cell r="C25" t="str">
            <v>蛋黄白莲蓉60g</v>
          </cell>
          <cell r="D25" t="str">
            <v>White lotus yolk moom cake</v>
          </cell>
          <cell r="E25" t="str">
            <v>60克</v>
          </cell>
          <cell r="F25">
            <v>3.34</v>
          </cell>
          <cell r="G25">
            <v>1349</v>
          </cell>
          <cell r="H25">
            <v>0.17</v>
          </cell>
          <cell r="I25">
            <v>4505.66</v>
          </cell>
          <cell r="J25">
            <v>5271.6222</v>
          </cell>
          <cell r="K25">
            <v>1000</v>
          </cell>
          <cell r="L25">
            <v>3340</v>
          </cell>
          <cell r="M25">
            <v>765962.2</v>
          </cell>
          <cell r="N25">
            <v>-760690.5778</v>
          </cell>
          <cell r="O25">
            <v>0</v>
          </cell>
        </row>
        <row r="26">
          <cell r="B26" t="str">
            <v>10910016</v>
          </cell>
          <cell r="C26" t="str">
            <v>果仁豆沙60g</v>
          </cell>
          <cell r="D26" t="str">
            <v>Red Beanmoon cake</v>
          </cell>
          <cell r="E26" t="str">
            <v>60克</v>
          </cell>
          <cell r="F26">
            <v>3.42</v>
          </cell>
          <cell r="G26">
            <v>1349</v>
          </cell>
          <cell r="H26">
            <v>0.17</v>
          </cell>
          <cell r="I26">
            <v>4613.58</v>
          </cell>
          <cell r="J26">
            <v>5397.8886</v>
          </cell>
          <cell r="K26">
            <v>1000</v>
          </cell>
          <cell r="L26">
            <v>3420</v>
          </cell>
          <cell r="M26">
            <v>784308.6</v>
          </cell>
          <cell r="N26">
            <v>-778910.7114</v>
          </cell>
          <cell r="O26">
            <v>0</v>
          </cell>
        </row>
        <row r="27">
          <cell r="B27" t="str">
            <v>10910018</v>
          </cell>
          <cell r="C27" t="str">
            <v>鲜花陷系列60g</v>
          </cell>
          <cell r="D27" t="str">
            <v>Flowermoon cake</v>
          </cell>
          <cell r="E27" t="str">
            <v>60克</v>
          </cell>
          <cell r="F27">
            <v>3.25</v>
          </cell>
          <cell r="G27">
            <v>1349</v>
          </cell>
          <cell r="H27">
            <v>0.17</v>
          </cell>
          <cell r="I27">
            <v>4384.25</v>
          </cell>
          <cell r="J27">
            <v>5129.5725</v>
          </cell>
          <cell r="K27">
            <v>1000</v>
          </cell>
          <cell r="L27">
            <v>3250</v>
          </cell>
          <cell r="M27">
            <v>745322.5</v>
          </cell>
          <cell r="N27">
            <v>-740192.9275</v>
          </cell>
          <cell r="O27">
            <v>0</v>
          </cell>
        </row>
        <row r="28">
          <cell r="B28" t="str">
            <v>10910021</v>
          </cell>
          <cell r="C28" t="str">
            <v>纯正红莲蓉60g</v>
          </cell>
          <cell r="D28" t="str">
            <v>Coconutmoon cake</v>
          </cell>
          <cell r="E28" t="str">
            <v>60克</v>
          </cell>
          <cell r="F28">
            <v>3.25</v>
          </cell>
          <cell r="G28">
            <v>1349</v>
          </cell>
          <cell r="H28">
            <v>0.17</v>
          </cell>
          <cell r="I28">
            <v>4384.25</v>
          </cell>
          <cell r="J28">
            <v>5129.5725</v>
          </cell>
          <cell r="K28">
            <v>1000</v>
          </cell>
          <cell r="L28">
            <v>3250</v>
          </cell>
          <cell r="M28">
            <v>745322.5</v>
          </cell>
          <cell r="N28">
            <v>-740192.9275</v>
          </cell>
          <cell r="O28">
            <v>0</v>
          </cell>
        </row>
        <row r="29">
          <cell r="B29" t="str">
            <v>10910021</v>
          </cell>
          <cell r="C29" t="str">
            <v>椰皇蓉60g</v>
          </cell>
          <cell r="D29" t="str">
            <v>Coconutmoon cake</v>
          </cell>
          <cell r="E29" t="str">
            <v>60克</v>
          </cell>
          <cell r="F29">
            <v>3.25</v>
          </cell>
          <cell r="G29">
            <v>1349</v>
          </cell>
          <cell r="H29">
            <v>0.17</v>
          </cell>
          <cell r="I29">
            <v>4384.25</v>
          </cell>
          <cell r="J29">
            <v>5129.5725</v>
          </cell>
          <cell r="K29">
            <v>1000</v>
          </cell>
          <cell r="L29">
            <v>3250</v>
          </cell>
          <cell r="M29">
            <v>745322.5</v>
          </cell>
          <cell r="N29">
            <v>-740192.9275</v>
          </cell>
          <cell r="O29">
            <v>0</v>
          </cell>
        </row>
        <row r="30">
          <cell r="B30" t="str">
            <v>10910022</v>
          </cell>
          <cell r="C30" t="str">
            <v>香辣牛肉60g</v>
          </cell>
          <cell r="D30" t="str">
            <v>Spicy Beefmoon cake</v>
          </cell>
          <cell r="E30" t="str">
            <v>60克</v>
          </cell>
          <cell r="F30">
            <v>4.02</v>
          </cell>
          <cell r="G30">
            <v>1349</v>
          </cell>
          <cell r="H30">
            <v>0.17</v>
          </cell>
          <cell r="I30">
            <v>5422.98</v>
          </cell>
          <cell r="J30">
            <v>6344.8866</v>
          </cell>
          <cell r="K30">
            <v>1000</v>
          </cell>
          <cell r="L30">
            <v>4020</v>
          </cell>
          <cell r="M30">
            <v>921906.6</v>
          </cell>
          <cell r="N30">
            <v>-915561.7134</v>
          </cell>
          <cell r="O30">
            <v>0</v>
          </cell>
        </row>
        <row r="31">
          <cell r="B31" t="str">
            <v>40410201</v>
          </cell>
          <cell r="C31" t="str">
            <v>2017初月月饼盒</v>
          </cell>
          <cell r="D31" t="str">
            <v>2017Mooncake Box</v>
          </cell>
          <cell r="E31">
            <v>0</v>
          </cell>
          <cell r="F31">
            <v>20.51</v>
          </cell>
          <cell r="G31">
            <v>1349</v>
          </cell>
          <cell r="H31">
            <v>0.17</v>
          </cell>
          <cell r="I31">
            <v>27667.99</v>
          </cell>
          <cell r="J31">
            <v>32371.5483</v>
          </cell>
          <cell r="K31">
            <v>1000</v>
          </cell>
          <cell r="L31">
            <v>20510</v>
          </cell>
          <cell r="M31">
            <v>4703558.3</v>
          </cell>
          <cell r="N31">
            <v>-4671186.7517</v>
          </cell>
          <cell r="O31">
            <v>0</v>
          </cell>
          <cell r="P31">
            <v>1349</v>
          </cell>
        </row>
        <row r="32">
          <cell r="B32" t="str">
            <v>40410204</v>
          </cell>
          <cell r="C32" t="str">
            <v>2017初月月饼手提袋</v>
          </cell>
          <cell r="D32" t="str">
            <v>2017Mooncakes paper bag</v>
          </cell>
          <cell r="E32">
            <v>0</v>
          </cell>
          <cell r="F32">
            <v>2.56</v>
          </cell>
          <cell r="G32">
            <v>1349</v>
          </cell>
          <cell r="H32">
            <v>0.17</v>
          </cell>
          <cell r="I32">
            <v>3453.44</v>
          </cell>
          <cell r="J32">
            <v>4040.5248</v>
          </cell>
          <cell r="K32">
            <v>1000</v>
          </cell>
          <cell r="L32">
            <v>2560</v>
          </cell>
          <cell r="M32">
            <v>587084.8</v>
          </cell>
          <cell r="N32">
            <v>-583044.2752</v>
          </cell>
          <cell r="O32">
            <v>0</v>
          </cell>
          <cell r="P32">
            <v>1349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58816.4</v>
          </cell>
          <cell r="J33">
            <v>68815.188</v>
          </cell>
          <cell r="K33">
            <v>0</v>
          </cell>
          <cell r="L33">
            <v>43600</v>
          </cell>
          <cell r="M33">
            <v>9998788</v>
          </cell>
          <cell r="N33">
            <v>-9929972.812</v>
          </cell>
          <cell r="O33">
            <v>0</v>
          </cell>
          <cell r="P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150354.609</v>
          </cell>
          <cell r="J34">
            <v>175914.89253</v>
          </cell>
          <cell r="K34">
            <v>0</v>
          </cell>
          <cell r="L34">
            <v>152027.8</v>
          </cell>
          <cell r="M34">
            <v>26821435.806</v>
          </cell>
          <cell r="N34">
            <v>-27081023.51347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47"/>
  <sheetViews>
    <sheetView zoomScale="80" zoomScaleNormal="80" workbookViewId="0">
      <selection activeCell="P22" sqref="P22"/>
    </sheetView>
  </sheetViews>
  <sheetFormatPr defaultColWidth="10.6296296296296" defaultRowHeight="15.6"/>
  <cols>
    <col min="1" max="1" width="6.62962962962963" style="257" customWidth="1"/>
    <col min="2" max="2" width="1" style="257" customWidth="1"/>
    <col min="3" max="3" width="36.6296296296296" style="257" customWidth="1"/>
    <col min="4" max="4" width="10.3796296296296" style="257" customWidth="1"/>
    <col min="5" max="5" width="10.1296296296296" style="257" customWidth="1"/>
    <col min="6" max="6" width="12.1296296296296" style="257" customWidth="1"/>
    <col min="7" max="7" width="6.87962962962963" style="257" customWidth="1"/>
    <col min="8" max="8" width="8.62962962962963" style="222" customWidth="1"/>
    <col min="9" max="9" width="10.6296296296296" style="222" customWidth="1"/>
    <col min="10" max="10" width="11.75" style="258" customWidth="1"/>
    <col min="11" max="11" width="4.25" style="257" customWidth="1"/>
    <col min="12" max="12" width="22.75" style="257" customWidth="1"/>
    <col min="13" max="16384" width="10.6296296296296" style="257"/>
  </cols>
  <sheetData>
    <row r="1" ht="21" spans="1:12">
      <c r="A1" s="259" t="s">
        <v>0</v>
      </c>
      <c r="B1" s="256"/>
      <c r="C1" s="256"/>
      <c r="D1" s="256"/>
      <c r="E1" s="256"/>
      <c r="F1" s="256"/>
      <c r="G1" s="256"/>
      <c r="H1" s="260"/>
      <c r="I1" s="260"/>
      <c r="J1" s="256"/>
      <c r="K1" s="256"/>
    </row>
    <row r="2" ht="21" spans="1:12">
      <c r="A2" s="261" t="s">
        <v>1</v>
      </c>
      <c r="J2" s="262"/>
    </row>
    <row r="3" spans="1:12">
      <c r="J3" s="262"/>
    </row>
    <row r="4" s="256" customFormat="1" ht="21" spans="1:12">
      <c r="B4" s="259"/>
      <c r="C4" s="259"/>
      <c r="D4" s="263" t="s">
        <v>2</v>
      </c>
      <c r="E4" s="263"/>
      <c r="F4" s="263"/>
      <c r="G4" s="259"/>
      <c r="H4" s="263" t="s">
        <v>3</v>
      </c>
      <c r="I4" s="263"/>
      <c r="J4" s="263"/>
      <c r="K4" s="264"/>
    </row>
    <row r="5" ht="21" spans="1:12">
      <c r="A5" s="265">
        <v>1</v>
      </c>
      <c r="B5" s="259"/>
      <c r="C5" s="259" t="s">
        <v>4</v>
      </c>
      <c r="D5" s="266"/>
      <c r="E5" s="266"/>
      <c r="F5" s="267" t="s">
        <v>5</v>
      </c>
      <c r="G5" s="268"/>
      <c r="H5" s="266"/>
      <c r="I5" s="266"/>
      <c r="J5" s="267" t="s">
        <v>5</v>
      </c>
    </row>
    <row r="6" ht="46.8" spans="1:12">
      <c r="C6" s="269" t="s">
        <v>6</v>
      </c>
      <c r="D6" s="270" t="s">
        <v>7</v>
      </c>
      <c r="E6" s="271" t="s">
        <v>8</v>
      </c>
      <c r="F6" s="234"/>
      <c r="G6" s="272"/>
      <c r="H6" s="270" t="s">
        <v>7</v>
      </c>
      <c r="I6" s="271" t="s">
        <v>9</v>
      </c>
      <c r="J6" s="234"/>
    </row>
    <row r="7" spans="1:12">
      <c r="C7" s="257" t="s">
        <v>10</v>
      </c>
      <c r="D7" s="273">
        <v>1673</v>
      </c>
      <c r="E7" s="274">
        <f>F7/D7</f>
        <v>182.439330543933</v>
      </c>
      <c r="F7" s="234">
        <v>305221</v>
      </c>
      <c r="H7" s="273">
        <v>1379</v>
      </c>
      <c r="I7" s="274">
        <v>220</v>
      </c>
      <c r="J7" s="234">
        <f>H7*I7</f>
        <v>303380</v>
      </c>
    </row>
    <row r="8" spans="1:12">
      <c r="C8" s="257" t="s">
        <v>11</v>
      </c>
      <c r="D8" s="273">
        <v>1226</v>
      </c>
      <c r="E8" s="274">
        <f>F8/D8</f>
        <v>80.1044045676998</v>
      </c>
      <c r="F8" s="234">
        <v>98208</v>
      </c>
      <c r="H8" s="273">
        <v>847</v>
      </c>
      <c r="I8" s="274">
        <v>100</v>
      </c>
      <c r="J8" s="234">
        <f t="shared" ref="J8:J9" si="0">H8*I8</f>
        <v>84700</v>
      </c>
    </row>
    <row r="9" spans="1:12">
      <c r="C9" s="257" t="s">
        <v>12</v>
      </c>
      <c r="D9" s="273">
        <v>600</v>
      </c>
      <c r="E9" s="274">
        <f>F9/D9</f>
        <v>136.16305</v>
      </c>
      <c r="F9" s="234">
        <v>81697.83</v>
      </c>
      <c r="H9" s="273">
        <v>600</v>
      </c>
      <c r="I9" s="274">
        <v>200</v>
      </c>
      <c r="J9" s="234">
        <f t="shared" si="0"/>
        <v>120000</v>
      </c>
    </row>
    <row r="10" ht="16.35" spans="1:12">
      <c r="C10" s="275"/>
      <c r="D10" s="276">
        <f>SUM(D7:D9)</f>
        <v>3499</v>
      </c>
      <c r="E10" s="222"/>
      <c r="F10" s="277"/>
      <c r="G10" s="275"/>
      <c r="H10" s="276">
        <f>SUM(H7:H9)</f>
        <v>2826</v>
      </c>
      <c r="J10" s="277"/>
    </row>
    <row r="11" ht="16.35" spans="1:12">
      <c r="C11" s="278" t="s">
        <v>13</v>
      </c>
      <c r="D11" s="279"/>
      <c r="E11" s="222"/>
      <c r="F11" s="280">
        <f>SUM(F7:F9)</f>
        <v>485126.83</v>
      </c>
      <c r="G11" s="278"/>
      <c r="H11" s="279"/>
      <c r="J11" s="280">
        <f>SUM(J7:J9)</f>
        <v>508080</v>
      </c>
      <c r="L11" s="281"/>
    </row>
    <row r="12" spans="1:12">
      <c r="A12" s="257" t="s">
        <v>14</v>
      </c>
      <c r="C12" s="278" t="s">
        <v>15</v>
      </c>
      <c r="D12" s="222"/>
      <c r="E12" s="222"/>
      <c r="F12" s="282">
        <v>70511</v>
      </c>
      <c r="G12" s="278"/>
      <c r="J12" s="282">
        <f>J11*0.17</f>
        <v>86373.6</v>
      </c>
      <c r="L12" s="281"/>
    </row>
    <row r="13" ht="16.35" spans="1:12">
      <c r="C13" s="278" t="s">
        <v>16</v>
      </c>
      <c r="D13" s="222"/>
      <c r="E13" s="222"/>
      <c r="F13" s="283">
        <f>F11-F12</f>
        <v>414615.83</v>
      </c>
      <c r="G13" s="278"/>
      <c r="J13" s="283">
        <f>J11-J12</f>
        <v>421706.4</v>
      </c>
      <c r="L13" s="281"/>
    </row>
    <row r="14" ht="16.35" spans="1:12">
      <c r="C14" s="278"/>
      <c r="D14" s="222"/>
      <c r="E14" s="222"/>
      <c r="F14" s="280"/>
      <c r="G14" s="278"/>
      <c r="J14" s="280"/>
      <c r="L14" s="281"/>
    </row>
    <row r="15" spans="1:12">
      <c r="D15" s="222"/>
      <c r="E15" s="222"/>
      <c r="F15" s="284"/>
      <c r="J15" s="284"/>
    </row>
    <row r="16" ht="21" spans="1:12">
      <c r="A16" s="265">
        <v>2</v>
      </c>
      <c r="B16" s="259"/>
      <c r="C16" s="269" t="s">
        <v>17</v>
      </c>
      <c r="D16" s="266"/>
      <c r="E16" s="266"/>
      <c r="F16" s="234"/>
      <c r="G16" s="272"/>
      <c r="H16" s="266"/>
      <c r="I16" s="266"/>
      <c r="J16" s="284"/>
    </row>
    <row r="17" spans="1:11">
      <c r="C17" s="285" t="s">
        <v>18</v>
      </c>
      <c r="D17" s="270" t="s">
        <v>7</v>
      </c>
      <c r="E17" s="270" t="s">
        <v>19</v>
      </c>
      <c r="F17" s="234"/>
      <c r="G17" s="286"/>
      <c r="H17" s="270" t="s">
        <v>7</v>
      </c>
      <c r="I17" s="270" t="s">
        <v>19</v>
      </c>
      <c r="J17" s="234"/>
    </row>
    <row r="18" spans="1:11">
      <c r="C18" s="257" t="s">
        <v>10</v>
      </c>
      <c r="D18" s="279">
        <f>D7</f>
        <v>1673</v>
      </c>
      <c r="E18" s="287">
        <v>40.39</v>
      </c>
      <c r="F18" s="234">
        <f>D18*E18</f>
        <v>67572.47</v>
      </c>
      <c r="H18" s="279">
        <f>H7</f>
        <v>1379</v>
      </c>
      <c r="I18" s="287">
        <v>50.51</v>
      </c>
      <c r="J18" s="234">
        <f>H18*I18</f>
        <v>69653.29</v>
      </c>
    </row>
    <row r="19" spans="1:11">
      <c r="C19" s="257" t="s">
        <v>11</v>
      </c>
      <c r="D19" s="279">
        <f>D8</f>
        <v>1226</v>
      </c>
      <c r="E19" s="222">
        <v>19.83</v>
      </c>
      <c r="F19" s="234">
        <f t="shared" ref="F19:F20" si="1">D19*E19</f>
        <v>24311.58</v>
      </c>
      <c r="H19" s="279">
        <f>H8</f>
        <v>847</v>
      </c>
      <c r="I19" s="222">
        <v>27.78</v>
      </c>
      <c r="J19" s="234">
        <f t="shared" ref="J19:J20" si="2">H19*I19</f>
        <v>23529.66</v>
      </c>
    </row>
    <row r="20" spans="1:11">
      <c r="C20" s="257" t="s">
        <v>12</v>
      </c>
      <c r="D20" s="279">
        <f t="shared" ref="D20" si="3">D9</f>
        <v>600</v>
      </c>
      <c r="E20" s="222">
        <v>33.8</v>
      </c>
      <c r="F20" s="234">
        <f t="shared" si="1"/>
        <v>20280</v>
      </c>
      <c r="H20" s="279">
        <f t="shared" ref="H20" si="4">H9</f>
        <v>600</v>
      </c>
      <c r="I20" s="222">
        <v>46.24</v>
      </c>
      <c r="J20" s="234">
        <f t="shared" si="2"/>
        <v>27744</v>
      </c>
    </row>
    <row r="21" ht="16.35" spans="1:11">
      <c r="C21" s="278" t="s">
        <v>20</v>
      </c>
      <c r="D21" s="288">
        <f>SUM(D18:D20)</f>
        <v>3499</v>
      </c>
      <c r="E21" s="222"/>
      <c r="F21" s="283">
        <f>SUM(F18:F20)</f>
        <v>112164.05</v>
      </c>
      <c r="G21" s="289"/>
      <c r="H21" s="288">
        <f>SUM(H18:H20)</f>
        <v>2826</v>
      </c>
      <c r="J21" s="283">
        <f>SUM(J18:J20)</f>
        <v>120926.95</v>
      </c>
    </row>
    <row r="22" ht="16.35" spans="1:11">
      <c r="D22" s="222"/>
      <c r="E22" s="222"/>
      <c r="G22" s="278"/>
      <c r="J22" s="257"/>
    </row>
    <row r="23" spans="1:11">
      <c r="D23" s="222"/>
      <c r="E23" s="222"/>
      <c r="F23" s="284"/>
      <c r="J23" s="284"/>
    </row>
    <row r="24" ht="21" spans="1:11">
      <c r="A24" s="265">
        <v>3</v>
      </c>
      <c r="B24" s="278"/>
      <c r="C24" s="269" t="s">
        <v>21</v>
      </c>
      <c r="D24" s="222"/>
      <c r="E24" s="222"/>
      <c r="F24" s="284"/>
      <c r="G24" s="278"/>
      <c r="J24" s="284"/>
    </row>
    <row r="25" spans="1:11">
      <c r="C25" s="285" t="s">
        <v>22</v>
      </c>
      <c r="D25" s="222"/>
      <c r="E25" s="222"/>
      <c r="F25" s="234">
        <v>2820</v>
      </c>
      <c r="G25" s="285"/>
      <c r="J25" s="234">
        <v>0</v>
      </c>
    </row>
    <row r="26" spans="1:11">
      <c r="A26" s="290"/>
      <c r="B26" s="290"/>
      <c r="C26" s="291"/>
      <c r="D26" s="292"/>
      <c r="E26" s="292"/>
      <c r="F26" s="293"/>
      <c r="G26" s="291"/>
      <c r="H26" s="292"/>
      <c r="I26" s="292"/>
      <c r="J26" s="293"/>
      <c r="K26" s="290"/>
    </row>
    <row r="27" ht="16.35" spans="1:11">
      <c r="C27" s="278" t="s">
        <v>23</v>
      </c>
      <c r="D27" s="222"/>
      <c r="E27" s="222"/>
      <c r="F27" s="283">
        <f>SUM(F25:F26)</f>
        <v>2820</v>
      </c>
      <c r="G27" s="278"/>
      <c r="J27" s="283">
        <f>SUM(J25:J26)</f>
        <v>0</v>
      </c>
    </row>
    <row r="28" ht="16.35" spans="1:11">
      <c r="C28" s="289"/>
      <c r="D28" s="222"/>
      <c r="E28" s="222"/>
      <c r="F28" s="284"/>
      <c r="G28" s="289"/>
      <c r="J28" s="284"/>
    </row>
    <row r="29" ht="21" spans="1:11">
      <c r="A29" s="265">
        <v>4</v>
      </c>
      <c r="C29" s="294" t="s">
        <v>24</v>
      </c>
      <c r="D29" s="222"/>
      <c r="E29" s="222"/>
      <c r="F29" s="284"/>
      <c r="G29" s="295"/>
      <c r="J29" s="284"/>
    </row>
    <row r="30" ht="21" spans="1:11">
      <c r="A30" s="265"/>
      <c r="C30" s="289" t="s">
        <v>25</v>
      </c>
      <c r="D30" s="222"/>
      <c r="E30" s="222"/>
      <c r="F30" s="234">
        <v>4533.5</v>
      </c>
      <c r="G30" s="289"/>
      <c r="J30" s="234">
        <v>5000</v>
      </c>
    </row>
    <row r="31" ht="21" spans="1:11">
      <c r="A31" s="265"/>
      <c r="C31" s="289" t="s">
        <v>26</v>
      </c>
      <c r="D31" s="222"/>
      <c r="E31" s="222"/>
      <c r="F31" s="234">
        <v>12000</v>
      </c>
      <c r="G31" s="289"/>
      <c r="J31" s="296">
        <v>10870</v>
      </c>
    </row>
    <row r="32" ht="21" spans="1:11">
      <c r="A32" s="265"/>
      <c r="C32" s="289" t="s">
        <v>27</v>
      </c>
      <c r="D32" s="222"/>
      <c r="E32" s="222"/>
      <c r="F32" s="234">
        <v>6239</v>
      </c>
      <c r="G32" s="289"/>
      <c r="J32" s="296">
        <v>0</v>
      </c>
    </row>
    <row r="33" ht="16.35" spans="1:12">
      <c r="C33" s="278" t="s">
        <v>28</v>
      </c>
      <c r="D33" s="222"/>
      <c r="E33" s="222"/>
      <c r="F33" s="283">
        <f>SUM(F30:F32)</f>
        <v>22772.5</v>
      </c>
      <c r="G33" s="278"/>
      <c r="J33" s="283">
        <f>SUM(J30:J32)</f>
        <v>15870</v>
      </c>
    </row>
    <row r="34" ht="16.35" spans="1:12">
      <c r="C34" s="289"/>
      <c r="D34" s="222"/>
      <c r="E34" s="222"/>
      <c r="F34" s="284"/>
      <c r="G34" s="289"/>
      <c r="J34" s="284"/>
    </row>
    <row r="35" ht="15.75" customHeight="1" spans="1:12">
      <c r="A35" s="265"/>
      <c r="C35" s="289"/>
      <c r="D35" s="222"/>
      <c r="E35" s="222"/>
      <c r="F35" s="297"/>
      <c r="G35" s="289"/>
      <c r="J35" s="297"/>
    </row>
    <row r="36" ht="18.15" spans="1:12">
      <c r="C36" s="278" t="s">
        <v>29</v>
      </c>
      <c r="D36" s="222"/>
      <c r="E36" s="222"/>
      <c r="F36" s="283">
        <f>F21+F27+F33</f>
        <v>137756.55</v>
      </c>
      <c r="G36" s="278"/>
      <c r="J36" s="283">
        <f>J21+J27+J33</f>
        <v>136796.95</v>
      </c>
      <c r="L36" s="298"/>
    </row>
    <row r="37" ht="16.35" spans="1:12">
      <c r="C37" s="289"/>
      <c r="D37" s="222"/>
      <c r="E37" s="222"/>
      <c r="F37" s="284"/>
      <c r="G37" s="289"/>
      <c r="J37" s="284"/>
    </row>
    <row r="38" ht="18.75" spans="1:12">
      <c r="C38" s="269" t="s">
        <v>30</v>
      </c>
      <c r="D38" s="299"/>
      <c r="E38" s="299"/>
      <c r="F38" s="300">
        <f>F13-F36</f>
        <v>276859.28</v>
      </c>
      <c r="G38" s="269"/>
      <c r="H38" s="301"/>
      <c r="I38" s="301"/>
      <c r="J38" s="300">
        <f>J13-J36</f>
        <v>284909.45</v>
      </c>
    </row>
    <row r="39" ht="21.6" customHeight="1" spans="1:12">
      <c r="C39" s="302" t="s">
        <v>31</v>
      </c>
      <c r="D39" s="299"/>
      <c r="E39" s="299"/>
      <c r="F39" s="303">
        <f>F38/F13</f>
        <v>0.667748937612922</v>
      </c>
      <c r="G39" s="302"/>
      <c r="H39" s="301"/>
      <c r="I39" s="301"/>
      <c r="J39" s="303">
        <f>J38/J13</f>
        <v>0.67561092267037</v>
      </c>
      <c r="K39" s="222"/>
      <c r="L39" s="304"/>
    </row>
    <row r="40" spans="1:12">
      <c r="D40" s="222"/>
      <c r="E40" s="222"/>
      <c r="J40" s="257"/>
    </row>
    <row r="41" spans="1:12">
      <c r="C41" s="305" t="s">
        <v>32</v>
      </c>
      <c r="J41" s="257"/>
    </row>
    <row r="42" spans="1:12">
      <c r="C42" s="257" t="s">
        <v>33</v>
      </c>
      <c r="J42" s="257"/>
    </row>
    <row r="43" spans="1:12">
      <c r="J43" s="257"/>
    </row>
    <row r="44" spans="1:12">
      <c r="C44" s="305" t="s">
        <v>34</v>
      </c>
      <c r="J44" s="257"/>
    </row>
    <row r="45" spans="1:12">
      <c r="C45" s="257" t="s">
        <v>35</v>
      </c>
      <c r="J45" s="257"/>
    </row>
    <row r="46" spans="1:12">
      <c r="C46" s="257" t="s">
        <v>36</v>
      </c>
      <c r="J46" s="257"/>
    </row>
    <row r="47" spans="1:12">
      <c r="J47" s="257"/>
    </row>
  </sheetData>
  <mergeCells count="2">
    <mergeCell ref="D4:F4"/>
    <mergeCell ref="H4:J4"/>
  </mergeCells>
  <pageMargins left="0.7" right="0.7" top="0.75" bottom="0.75" header="0.3" footer="0.3"/>
  <pageSetup paperSize="9" scale="74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6"/>
  <sheetViews>
    <sheetView workbookViewId="0">
      <pane ySplit="3" topLeftCell="A4" activePane="bottomLeft" state="frozen"/>
      <selection/>
      <selection pane="bottomLeft" activeCell="J15" sqref="J15"/>
    </sheetView>
  </sheetViews>
  <sheetFormatPr defaultColWidth="9" defaultRowHeight="10.8"/>
  <cols>
    <col min="1" max="1" width="8.62962962962963" style="1" customWidth="1"/>
    <col min="2" max="2" width="5.37962962962963" style="1" customWidth="1"/>
    <col min="3" max="3" width="3.87962962962963" style="2" customWidth="1"/>
    <col min="4" max="4" width="7" style="1" customWidth="1"/>
    <col min="5" max="6" width="16.3796296296296" style="1" customWidth="1"/>
    <col min="7" max="9" width="11.75" style="1" customWidth="1"/>
    <col min="10" max="10" width="47.6296296296296" style="1" customWidth="1"/>
    <col min="11" max="11" width="2.37962962962963" style="1" customWidth="1"/>
    <col min="12" max="16384" width="9" style="1"/>
  </cols>
  <sheetData>
    <row r="1" ht="17.4" spans="1:11">
      <c r="A1" s="3" t="s">
        <v>282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ht="11.25" customHeight="1" spans="1:11">
      <c r="A2" s="4" t="s">
        <v>1281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ht="11.25" customHeight="1" spans="1:11">
      <c r="A3" s="5" t="s">
        <v>285</v>
      </c>
      <c r="B3" s="5" t="s">
        <v>286</v>
      </c>
      <c r="C3" s="6" t="s">
        <v>287</v>
      </c>
      <c r="D3" s="5" t="s">
        <v>288</v>
      </c>
      <c r="E3" s="5" t="s">
        <v>289</v>
      </c>
      <c r="F3" s="5" t="s">
        <v>290</v>
      </c>
      <c r="G3" s="5" t="s">
        <v>291</v>
      </c>
      <c r="H3" s="5" t="s">
        <v>292</v>
      </c>
      <c r="I3" s="5" t="s">
        <v>293</v>
      </c>
      <c r="J3" s="5" t="s">
        <v>294</v>
      </c>
      <c r="K3" s="5"/>
    </row>
    <row r="4" ht="64.8" spans="1:11">
      <c r="A4" s="7" t="s">
        <v>1072</v>
      </c>
      <c r="B4" s="7" t="s">
        <v>298</v>
      </c>
      <c r="C4" s="8">
        <v>16</v>
      </c>
      <c r="D4" s="7" t="s">
        <v>1282</v>
      </c>
      <c r="E4" s="7" t="s">
        <v>1283</v>
      </c>
      <c r="F4" s="7" t="s">
        <v>1284</v>
      </c>
      <c r="G4" s="9">
        <v>6666</v>
      </c>
      <c r="H4" s="9">
        <v>0</v>
      </c>
      <c r="I4" s="9">
        <v>1528673.87</v>
      </c>
      <c r="J4" s="7"/>
      <c r="K4" s="7" t="s">
        <v>1285</v>
      </c>
    </row>
    <row r="5" ht="64.8" spans="1:11">
      <c r="A5" s="7" t="s">
        <v>1072</v>
      </c>
      <c r="B5" s="7" t="s">
        <v>298</v>
      </c>
      <c r="C5" s="8">
        <v>16</v>
      </c>
      <c r="D5" s="7" t="s">
        <v>1282</v>
      </c>
      <c r="E5" s="7" t="s">
        <v>1283</v>
      </c>
      <c r="F5" s="7" t="s">
        <v>1286</v>
      </c>
      <c r="G5" s="9">
        <v>2587.2</v>
      </c>
      <c r="H5" s="9">
        <v>0</v>
      </c>
      <c r="I5" s="9">
        <v>1531261.07</v>
      </c>
      <c r="J5" s="7"/>
      <c r="K5" s="7" t="s">
        <v>1285</v>
      </c>
    </row>
    <row r="6" ht="64.8" spans="1:11">
      <c r="A6" s="7" t="s">
        <v>1072</v>
      </c>
      <c r="B6" s="7" t="s">
        <v>298</v>
      </c>
      <c r="C6" s="8">
        <v>16</v>
      </c>
      <c r="D6" s="7" t="s">
        <v>1282</v>
      </c>
      <c r="E6" s="7" t="s">
        <v>1283</v>
      </c>
      <c r="F6" s="7" t="s">
        <v>1287</v>
      </c>
      <c r="G6" s="9">
        <v>3846</v>
      </c>
      <c r="H6" s="9">
        <v>0</v>
      </c>
      <c r="I6" s="9">
        <v>1542639.75</v>
      </c>
      <c r="J6" s="7"/>
      <c r="K6" s="7" t="s">
        <v>1285</v>
      </c>
    </row>
    <row r="7" ht="64.8" spans="1:11">
      <c r="A7" s="7" t="s">
        <v>1072</v>
      </c>
      <c r="B7" s="7" t="s">
        <v>298</v>
      </c>
      <c r="C7" s="8">
        <v>16</v>
      </c>
      <c r="D7" s="7" t="s">
        <v>1282</v>
      </c>
      <c r="E7" s="7" t="s">
        <v>1283</v>
      </c>
      <c r="F7" s="7" t="s">
        <v>1288</v>
      </c>
      <c r="G7" s="9">
        <v>4615.2</v>
      </c>
      <c r="H7" s="9">
        <v>0</v>
      </c>
      <c r="I7" s="9">
        <v>1547254.95</v>
      </c>
      <c r="J7" s="7"/>
      <c r="K7" s="7" t="s">
        <v>1285</v>
      </c>
    </row>
    <row r="8" ht="64.8" spans="1:11">
      <c r="A8" s="7" t="s">
        <v>1072</v>
      </c>
      <c r="B8" s="7" t="s">
        <v>298</v>
      </c>
      <c r="C8" s="8">
        <v>16</v>
      </c>
      <c r="D8" s="7" t="s">
        <v>1282</v>
      </c>
      <c r="E8" s="7" t="s">
        <v>1283</v>
      </c>
      <c r="F8" s="7" t="s">
        <v>1287</v>
      </c>
      <c r="G8" s="9">
        <v>5538</v>
      </c>
      <c r="H8" s="9">
        <v>0</v>
      </c>
      <c r="I8" s="9">
        <v>1552792.95</v>
      </c>
      <c r="J8" s="7"/>
      <c r="K8" s="7" t="s">
        <v>1285</v>
      </c>
    </row>
    <row r="9" ht="64.8" spans="1:11">
      <c r="A9" s="7" t="s">
        <v>1072</v>
      </c>
      <c r="B9" s="7" t="s">
        <v>298</v>
      </c>
      <c r="C9" s="8">
        <v>16</v>
      </c>
      <c r="D9" s="7" t="s">
        <v>1282</v>
      </c>
      <c r="E9" s="7" t="s">
        <v>1283</v>
      </c>
      <c r="F9" s="7" t="s">
        <v>1289</v>
      </c>
      <c r="G9" s="9">
        <v>2805.6</v>
      </c>
      <c r="H9" s="9">
        <v>0</v>
      </c>
      <c r="I9" s="9">
        <v>1555598.55</v>
      </c>
      <c r="J9" s="7"/>
      <c r="K9" s="7" t="s">
        <v>1285</v>
      </c>
    </row>
    <row r="10" ht="64.8" spans="1:11">
      <c r="A10" s="7" t="s">
        <v>1072</v>
      </c>
      <c r="B10" s="7" t="s">
        <v>298</v>
      </c>
      <c r="C10" s="8">
        <v>16</v>
      </c>
      <c r="D10" s="7" t="s">
        <v>1282</v>
      </c>
      <c r="E10" s="7" t="s">
        <v>1283</v>
      </c>
      <c r="F10" s="7" t="s">
        <v>1290</v>
      </c>
      <c r="G10" s="9">
        <v>3248</v>
      </c>
      <c r="H10" s="9">
        <v>0</v>
      </c>
      <c r="I10" s="9">
        <v>1572840.66</v>
      </c>
      <c r="J10" s="7"/>
      <c r="K10" s="7" t="s">
        <v>1285</v>
      </c>
    </row>
    <row r="11" ht="64.8" spans="1:11">
      <c r="A11" s="7" t="s">
        <v>1072</v>
      </c>
      <c r="B11" s="7" t="s">
        <v>298</v>
      </c>
      <c r="C11" s="8">
        <v>16</v>
      </c>
      <c r="D11" s="7" t="s">
        <v>1282</v>
      </c>
      <c r="E11" s="7" t="s">
        <v>1283</v>
      </c>
      <c r="F11" s="7" t="s">
        <v>1291</v>
      </c>
      <c r="G11" s="9">
        <v>6154</v>
      </c>
      <c r="H11" s="9">
        <v>0</v>
      </c>
      <c r="I11" s="9">
        <v>1578994.66</v>
      </c>
      <c r="J11" s="7"/>
      <c r="K11" s="7" t="s">
        <v>1285</v>
      </c>
    </row>
    <row r="12" ht="64.8" spans="1:11">
      <c r="A12" s="7" t="s">
        <v>1072</v>
      </c>
      <c r="B12" s="7" t="s">
        <v>298</v>
      </c>
      <c r="C12" s="8">
        <v>16</v>
      </c>
      <c r="D12" s="7" t="s">
        <v>1282</v>
      </c>
      <c r="E12" s="7" t="s">
        <v>1283</v>
      </c>
      <c r="F12" s="7" t="s">
        <v>1292</v>
      </c>
      <c r="G12" s="9">
        <v>8034</v>
      </c>
      <c r="H12" s="9">
        <v>0</v>
      </c>
      <c r="I12" s="9">
        <v>1587028.66</v>
      </c>
      <c r="J12" s="7"/>
      <c r="K12" s="7" t="s">
        <v>1285</v>
      </c>
    </row>
    <row r="13" ht="64.8" spans="1:11">
      <c r="A13" s="7" t="s">
        <v>1072</v>
      </c>
      <c r="B13" s="7" t="s">
        <v>298</v>
      </c>
      <c r="C13" s="8">
        <v>16</v>
      </c>
      <c r="D13" s="7" t="s">
        <v>1282</v>
      </c>
      <c r="E13" s="7" t="s">
        <v>1283</v>
      </c>
      <c r="F13" s="7" t="s">
        <v>1293</v>
      </c>
      <c r="G13" s="9">
        <v>4615.2</v>
      </c>
      <c r="H13" s="9">
        <v>0</v>
      </c>
      <c r="I13" s="9">
        <v>1591643.86</v>
      </c>
      <c r="J13" s="7"/>
      <c r="K13" s="7" t="s">
        <v>1285</v>
      </c>
    </row>
    <row r="14" ht="64.8" spans="1:11">
      <c r="A14" s="7" t="s">
        <v>1072</v>
      </c>
      <c r="B14" s="7" t="s">
        <v>298</v>
      </c>
      <c r="C14" s="8">
        <v>16</v>
      </c>
      <c r="D14" s="7" t="s">
        <v>1282</v>
      </c>
      <c r="E14" s="7" t="s">
        <v>1283</v>
      </c>
      <c r="F14" s="7" t="s">
        <v>1292</v>
      </c>
      <c r="G14" s="9">
        <v>5538</v>
      </c>
      <c r="H14" s="9">
        <v>0</v>
      </c>
      <c r="I14" s="9">
        <v>1597181.86</v>
      </c>
      <c r="J14" s="7"/>
      <c r="K14" s="7" t="s">
        <v>1285</v>
      </c>
    </row>
    <row r="15" ht="64.8" spans="1:11">
      <c r="A15" s="7" t="s">
        <v>1072</v>
      </c>
      <c r="B15" s="7" t="s">
        <v>298</v>
      </c>
      <c r="C15" s="8">
        <v>16</v>
      </c>
      <c r="D15" s="7" t="s">
        <v>1282</v>
      </c>
      <c r="E15" s="7" t="s">
        <v>1283</v>
      </c>
      <c r="F15" s="7" t="s">
        <v>1294</v>
      </c>
      <c r="G15" s="9">
        <v>2730</v>
      </c>
      <c r="H15" s="9">
        <v>0</v>
      </c>
      <c r="I15" s="9">
        <v>1599911.86</v>
      </c>
      <c r="J15" s="7"/>
      <c r="K15" s="7" t="s">
        <v>1285</v>
      </c>
    </row>
    <row r="16" ht="64.8" spans="1:11">
      <c r="A16" s="7" t="s">
        <v>1072</v>
      </c>
      <c r="B16" s="7" t="s">
        <v>298</v>
      </c>
      <c r="C16" s="8">
        <v>16</v>
      </c>
      <c r="D16" s="7" t="s">
        <v>1282</v>
      </c>
      <c r="E16" s="7" t="s">
        <v>1283</v>
      </c>
      <c r="F16" s="7" t="s">
        <v>1295</v>
      </c>
      <c r="G16" s="9">
        <v>3376.8</v>
      </c>
      <c r="H16" s="9">
        <v>0</v>
      </c>
      <c r="I16" s="9">
        <v>1603288.66</v>
      </c>
      <c r="J16" s="7"/>
      <c r="K16" s="7" t="s">
        <v>1285</v>
      </c>
    </row>
    <row r="17" ht="64.8" spans="1:11">
      <c r="A17" s="7" t="s">
        <v>1072</v>
      </c>
      <c r="B17" s="7" t="s">
        <v>298</v>
      </c>
      <c r="C17" s="8">
        <v>16</v>
      </c>
      <c r="D17" s="7" t="s">
        <v>1282</v>
      </c>
      <c r="E17" s="7" t="s">
        <v>1283</v>
      </c>
      <c r="F17" s="7" t="s">
        <v>1293</v>
      </c>
      <c r="G17" s="9">
        <v>6838</v>
      </c>
      <c r="H17" s="9">
        <v>0</v>
      </c>
      <c r="I17" s="9">
        <v>1653058.74</v>
      </c>
      <c r="J17" s="7"/>
      <c r="K17" s="7" t="s">
        <v>1285</v>
      </c>
    </row>
    <row r="18" ht="64.8" spans="1:11">
      <c r="A18" s="7" t="s">
        <v>1072</v>
      </c>
      <c r="B18" s="7" t="s">
        <v>298</v>
      </c>
      <c r="C18" s="8">
        <v>16</v>
      </c>
      <c r="D18" s="7" t="s">
        <v>1282</v>
      </c>
      <c r="E18" s="7" t="s">
        <v>1283</v>
      </c>
      <c r="F18" s="7" t="s">
        <v>1288</v>
      </c>
      <c r="G18" s="9">
        <v>6496</v>
      </c>
      <c r="H18" s="9">
        <v>0</v>
      </c>
      <c r="I18" s="9">
        <v>1659554.74</v>
      </c>
      <c r="J18" s="7"/>
      <c r="K18" s="7" t="s">
        <v>1285</v>
      </c>
    </row>
    <row r="19" ht="64.8" spans="1:11">
      <c r="A19" s="7" t="s">
        <v>1072</v>
      </c>
      <c r="B19" s="7" t="s">
        <v>298</v>
      </c>
      <c r="C19" s="8">
        <v>16</v>
      </c>
      <c r="D19" s="7" t="s">
        <v>1282</v>
      </c>
      <c r="E19" s="7" t="s">
        <v>1283</v>
      </c>
      <c r="F19" s="7" t="s">
        <v>1296</v>
      </c>
      <c r="G19" s="9">
        <v>3761</v>
      </c>
      <c r="H19" s="9">
        <v>0</v>
      </c>
      <c r="I19" s="9">
        <v>1663315.74</v>
      </c>
      <c r="J19" s="7"/>
      <c r="K19" s="7" t="s">
        <v>1285</v>
      </c>
    </row>
    <row r="20" ht="64.8" spans="1:11">
      <c r="A20" s="7" t="s">
        <v>1072</v>
      </c>
      <c r="B20" s="7" t="s">
        <v>298</v>
      </c>
      <c r="C20" s="8">
        <v>16</v>
      </c>
      <c r="D20" s="7" t="s">
        <v>1282</v>
      </c>
      <c r="E20" s="7" t="s">
        <v>1283</v>
      </c>
      <c r="F20" s="7" t="s">
        <v>1297</v>
      </c>
      <c r="G20" s="9">
        <v>6496</v>
      </c>
      <c r="H20" s="9">
        <v>0</v>
      </c>
      <c r="I20" s="9">
        <v>1669811.74</v>
      </c>
      <c r="J20" s="7"/>
      <c r="K20" s="7" t="s">
        <v>1285</v>
      </c>
    </row>
    <row r="21" ht="64.8" spans="1:11">
      <c r="A21" s="7" t="s">
        <v>1072</v>
      </c>
      <c r="B21" s="7" t="s">
        <v>298</v>
      </c>
      <c r="C21" s="8">
        <v>16</v>
      </c>
      <c r="D21" s="7" t="s">
        <v>1282</v>
      </c>
      <c r="E21" s="7" t="s">
        <v>1283</v>
      </c>
      <c r="F21" s="7" t="s">
        <v>1284</v>
      </c>
      <c r="G21" s="9">
        <v>4820.4</v>
      </c>
      <c r="H21" s="9">
        <v>0</v>
      </c>
      <c r="I21" s="9">
        <v>1674632.14</v>
      </c>
      <c r="J21" s="7"/>
      <c r="K21" s="7" t="s">
        <v>1285</v>
      </c>
    </row>
    <row r="22" ht="64.8" spans="1:11">
      <c r="A22" s="7" t="s">
        <v>1072</v>
      </c>
      <c r="B22" s="7" t="s">
        <v>298</v>
      </c>
      <c r="C22" s="8">
        <v>16</v>
      </c>
      <c r="D22" s="7" t="s">
        <v>1282</v>
      </c>
      <c r="E22" s="7" t="s">
        <v>1283</v>
      </c>
      <c r="F22" s="7" t="s">
        <v>1296</v>
      </c>
      <c r="G22" s="9">
        <v>5436</v>
      </c>
      <c r="H22" s="9">
        <v>0</v>
      </c>
      <c r="I22" s="9">
        <v>1680068.14</v>
      </c>
      <c r="J22" s="7"/>
      <c r="K22" s="7" t="s">
        <v>1285</v>
      </c>
    </row>
    <row r="23" ht="64.8" spans="1:11">
      <c r="A23" s="7" t="s">
        <v>1072</v>
      </c>
      <c r="B23" s="7" t="s">
        <v>298</v>
      </c>
      <c r="C23" s="8">
        <v>16</v>
      </c>
      <c r="D23" s="7" t="s">
        <v>1282</v>
      </c>
      <c r="E23" s="7" t="s">
        <v>1283</v>
      </c>
      <c r="F23" s="7" t="s">
        <v>1298</v>
      </c>
      <c r="G23" s="9">
        <v>2872.8</v>
      </c>
      <c r="H23" s="9">
        <v>0</v>
      </c>
      <c r="I23" s="9">
        <v>1682940.94</v>
      </c>
      <c r="J23" s="7"/>
      <c r="K23" s="7" t="s">
        <v>1285</v>
      </c>
    </row>
    <row r="24" ht="64.8" spans="1:11">
      <c r="A24" s="7" t="s">
        <v>1072</v>
      </c>
      <c r="B24" s="7" t="s">
        <v>298</v>
      </c>
      <c r="C24" s="8">
        <v>16</v>
      </c>
      <c r="D24" s="7" t="s">
        <v>1282</v>
      </c>
      <c r="E24" s="7" t="s">
        <v>1283</v>
      </c>
      <c r="F24" s="7" t="s">
        <v>1299</v>
      </c>
      <c r="G24" s="9">
        <v>2730</v>
      </c>
      <c r="H24" s="9">
        <v>0</v>
      </c>
      <c r="I24" s="9">
        <v>1685670.94</v>
      </c>
      <c r="J24" s="7"/>
      <c r="K24" s="7" t="s">
        <v>1285</v>
      </c>
    </row>
    <row r="25" spans="1:11">
      <c r="A25" s="10"/>
      <c r="B25" s="10"/>
      <c r="C25" s="11"/>
      <c r="D25" s="10"/>
      <c r="E25" s="10"/>
      <c r="F25" s="10"/>
      <c r="G25" s="12">
        <f>SUM(G4:G24)</f>
        <v>99204.2</v>
      </c>
      <c r="H25" s="12"/>
      <c r="I25" s="12"/>
      <c r="J25" s="10"/>
      <c r="K25" s="10"/>
    </row>
    <row r="26" ht="11.25" customHeight="1" spans="1:11">
      <c r="A26" s="10" t="s">
        <v>1300</v>
      </c>
      <c r="B26" s="10"/>
      <c r="C26" s="10"/>
      <c r="D26" s="10"/>
      <c r="E26" s="10"/>
      <c r="F26" s="10"/>
      <c r="G26" s="10"/>
      <c r="H26" s="10"/>
      <c r="I26" s="10"/>
      <c r="J26" s="10"/>
      <c r="K26" s="10"/>
    </row>
  </sheetData>
  <mergeCells count="3">
    <mergeCell ref="A1:K1"/>
    <mergeCell ref="A2:K2"/>
    <mergeCell ref="A26:K26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64"/>
  <sheetViews>
    <sheetView view="pageBreakPreview" zoomScale="80" zoomScaleNormal="70" workbookViewId="0">
      <pane ySplit="5" topLeftCell="A35" activePane="bottomLeft" state="frozen"/>
      <selection/>
      <selection pane="bottomLeft" activeCell="M19" sqref="M19"/>
    </sheetView>
  </sheetViews>
  <sheetFormatPr defaultColWidth="10.6296296296296" defaultRowHeight="15.6"/>
  <cols>
    <col min="1" max="1" width="6.62962962962963" style="155" customWidth="1"/>
    <col min="2" max="2" width="1" style="155" customWidth="1"/>
    <col min="3" max="3" width="32.3796296296296" style="155" customWidth="1"/>
    <col min="4" max="4" width="4.12962962962963" style="155" customWidth="1"/>
    <col min="5" max="5" width="17" style="155" customWidth="1"/>
    <col min="6" max="6" width="10.6296296296296" style="155" customWidth="1"/>
    <col min="7" max="7" width="12.25" style="155" customWidth="1"/>
    <col min="8" max="8" width="16.1296296296296" style="155" customWidth="1"/>
    <col min="9" max="9" width="12.3796296296296" style="155" customWidth="1"/>
    <col min="10" max="10" width="11" style="155" customWidth="1"/>
    <col min="11" max="11" width="1.37962962962963" style="155" customWidth="1"/>
    <col min="12" max="12" width="12.75" style="155" customWidth="1"/>
    <col min="13" max="13" width="18.3796296296296" style="155" customWidth="1"/>
    <col min="14" max="14" width="12.25" style="155" customWidth="1"/>
    <col min="15" max="15" width="14.3796296296296" style="155" customWidth="1"/>
    <col min="16" max="16" width="12.3796296296296" style="155" customWidth="1"/>
    <col min="17" max="17" width="11" style="155" customWidth="1"/>
    <col min="18" max="18" width="3.75" style="155" customWidth="1"/>
    <col min="19" max="19" width="13.8796296296296" style="155" customWidth="1"/>
    <col min="20" max="20" width="9.25" style="155" customWidth="1"/>
    <col min="21" max="16384" width="10.6296296296296" style="155"/>
  </cols>
  <sheetData>
    <row r="1" ht="21" spans="1:20">
      <c r="A1" s="156" t="s">
        <v>37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</row>
    <row r="2" ht="21" spans="1:20">
      <c r="A2" s="157" t="s">
        <v>38</v>
      </c>
    </row>
    <row r="4" s="154" customFormat="1" ht="21" spans="1:20">
      <c r="B4" s="156"/>
      <c r="C4" s="156"/>
      <c r="D4" s="156"/>
      <c r="E4" s="158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5"/>
      <c r="S4" s="155"/>
      <c r="T4" s="155"/>
    </row>
    <row r="5" ht="21" spans="1:20">
      <c r="A5" s="160">
        <v>1</v>
      </c>
      <c r="B5" s="161"/>
      <c r="C5" s="161" t="s">
        <v>4</v>
      </c>
      <c r="D5" s="161"/>
      <c r="E5" s="162" t="s">
        <v>39</v>
      </c>
      <c r="F5" s="162"/>
      <c r="G5" s="162"/>
      <c r="H5" s="162"/>
      <c r="I5" s="162"/>
      <c r="J5" s="162"/>
      <c r="K5" s="163"/>
      <c r="L5" s="162" t="s">
        <v>40</v>
      </c>
      <c r="M5" s="162"/>
      <c r="N5" s="162"/>
      <c r="O5" s="162"/>
      <c r="P5" s="162"/>
      <c r="Q5" s="162"/>
      <c r="R5" s="156"/>
      <c r="S5" s="162" t="s">
        <v>41</v>
      </c>
      <c r="T5" s="162"/>
    </row>
    <row r="6" ht="31.2" spans="1:20">
      <c r="C6" s="164" t="s">
        <v>6</v>
      </c>
      <c r="E6" s="155" t="s">
        <v>42</v>
      </c>
      <c r="F6" s="165" t="s">
        <v>43</v>
      </c>
      <c r="G6" s="166" t="s">
        <v>7</v>
      </c>
      <c r="H6" s="167" t="s">
        <v>44</v>
      </c>
      <c r="I6" s="168" t="s">
        <v>8</v>
      </c>
      <c r="J6" s="169" t="s">
        <v>45</v>
      </c>
      <c r="K6" s="170"/>
      <c r="L6" s="171" t="s">
        <v>42</v>
      </c>
      <c r="M6" s="165" t="s">
        <v>43</v>
      </c>
      <c r="N6" s="166" t="s">
        <v>7</v>
      </c>
      <c r="O6" s="167" t="s">
        <v>46</v>
      </c>
      <c r="P6" s="168" t="s">
        <v>8</v>
      </c>
      <c r="Q6" s="169" t="s">
        <v>45</v>
      </c>
      <c r="R6" s="172"/>
      <c r="S6" s="173" t="s">
        <v>47</v>
      </c>
      <c r="T6" s="173" t="s">
        <v>48</v>
      </c>
    </row>
    <row r="7" spans="1:20">
      <c r="C7" s="155" t="s">
        <v>49</v>
      </c>
      <c r="E7" s="155" t="s">
        <v>50</v>
      </c>
      <c r="F7" s="174">
        <v>688</v>
      </c>
      <c r="G7" s="175">
        <v>2000</v>
      </c>
      <c r="H7" s="176">
        <f>G7*I7</f>
        <v>516000</v>
      </c>
      <c r="I7" s="177">
        <v>258</v>
      </c>
      <c r="J7" s="178">
        <f>I7/F7</f>
        <v>0.375</v>
      </c>
      <c r="K7" s="179"/>
      <c r="L7" s="180" t="s">
        <v>51</v>
      </c>
      <c r="M7" s="174">
        <v>598</v>
      </c>
      <c r="N7" s="175">
        <v>1508</v>
      </c>
      <c r="O7" s="176">
        <f>234548.56*1.13</f>
        <v>265039.8728</v>
      </c>
      <c r="P7" s="177">
        <f>O7/N7</f>
        <v>175.755883819629</v>
      </c>
      <c r="Q7" s="178">
        <f>P7/M7</f>
        <v>0.293906160233493</v>
      </c>
      <c r="R7" s="178"/>
      <c r="S7" s="181">
        <f>H7-O7</f>
        <v>250960.1272</v>
      </c>
      <c r="T7" s="182">
        <f>S7/O7</f>
        <v>0.946876877613715</v>
      </c>
    </row>
    <row r="8" spans="1:20">
      <c r="C8" s="155" t="s">
        <v>52</v>
      </c>
      <c r="E8" s="155" t="s">
        <v>53</v>
      </c>
      <c r="F8" s="174">
        <v>478</v>
      </c>
      <c r="G8" s="175">
        <v>4000</v>
      </c>
      <c r="H8" s="176">
        <f t="shared" ref="H8:H11" si="0">G8*I8</f>
        <v>576000</v>
      </c>
      <c r="I8" s="177">
        <v>144</v>
      </c>
      <c r="J8" s="178">
        <f>I8/F8</f>
        <v>0.301255230125523</v>
      </c>
      <c r="K8" s="179"/>
      <c r="L8" s="180" t="s">
        <v>54</v>
      </c>
      <c r="M8" s="174">
        <v>398</v>
      </c>
      <c r="N8" s="175">
        <v>3226</v>
      </c>
      <c r="O8" s="176">
        <f>309273.72*1.13</f>
        <v>349479.3036</v>
      </c>
      <c r="P8" s="177">
        <f t="shared" ref="P8:P10" si="1">O8/N8</f>
        <v>108.332084190949</v>
      </c>
      <c r="Q8" s="178">
        <f>P8/M8</f>
        <v>0.272191166308916</v>
      </c>
      <c r="R8" s="178"/>
      <c r="S8" s="181">
        <f>H8-O8</f>
        <v>226520.6964</v>
      </c>
      <c r="T8" s="182">
        <f>S8/O8</f>
        <v>0.648166269265738</v>
      </c>
    </row>
    <row r="9" hidden="1" spans="1:20">
      <c r="C9" s="155" t="s">
        <v>11</v>
      </c>
      <c r="F9" s="174"/>
      <c r="G9" s="175"/>
      <c r="H9" s="176">
        <f t="shared" si="0"/>
        <v>0</v>
      </c>
      <c r="I9" s="177"/>
      <c r="J9" s="178"/>
      <c r="K9" s="179"/>
      <c r="L9" s="180"/>
      <c r="M9" s="174"/>
      <c r="N9" s="175"/>
      <c r="O9" s="176"/>
      <c r="P9" s="177"/>
      <c r="Q9" s="178"/>
      <c r="R9" s="178"/>
      <c r="S9" s="181">
        <f t="shared" ref="S9:S10" si="2">H9-O9</f>
        <v>0</v>
      </c>
      <c r="T9" s="182" t="e">
        <f t="shared" ref="T9:T10" si="3">S9/O9</f>
        <v>#DIV/0!</v>
      </c>
    </row>
    <row r="10" spans="1:20">
      <c r="C10" s="155" t="s">
        <v>55</v>
      </c>
      <c r="E10" s="155" t="s">
        <v>56</v>
      </c>
      <c r="F10" s="174">
        <v>298</v>
      </c>
      <c r="G10" s="175">
        <v>10000</v>
      </c>
      <c r="H10" s="176">
        <f t="shared" si="0"/>
        <v>820000</v>
      </c>
      <c r="I10" s="177">
        <v>82</v>
      </c>
      <c r="J10" s="178">
        <f>I10/F10</f>
        <v>0.275167785234899</v>
      </c>
      <c r="K10" s="179"/>
      <c r="L10" s="180" t="s">
        <v>56</v>
      </c>
      <c r="M10" s="174">
        <v>298</v>
      </c>
      <c r="N10" s="175">
        <v>7094</v>
      </c>
      <c r="O10" s="176">
        <f>529929.18*1.13</f>
        <v>598819.9734</v>
      </c>
      <c r="P10" s="177">
        <f t="shared" si="1"/>
        <v>84.4121755568086</v>
      </c>
      <c r="Q10" s="178">
        <f>P10/M10</f>
        <v>0.28326233408325</v>
      </c>
      <c r="R10" s="178"/>
      <c r="S10" s="181">
        <f t="shared" si="2"/>
        <v>221180.0266</v>
      </c>
      <c r="T10" s="182">
        <f t="shared" si="3"/>
        <v>0.369359801651533</v>
      </c>
    </row>
    <row r="11" spans="1:20">
      <c r="C11" s="155" t="s">
        <v>57</v>
      </c>
      <c r="E11" s="155" t="s">
        <v>56</v>
      </c>
      <c r="F11" s="174">
        <v>268</v>
      </c>
      <c r="G11" s="175">
        <v>9000</v>
      </c>
      <c r="H11" s="176">
        <f t="shared" si="0"/>
        <v>576000</v>
      </c>
      <c r="I11" s="177">
        <v>64</v>
      </c>
      <c r="J11" s="178">
        <f>I11/F11</f>
        <v>0.238805970149254</v>
      </c>
      <c r="K11" s="179"/>
      <c r="L11" s="180" t="s">
        <v>58</v>
      </c>
      <c r="M11" s="183">
        <v>268</v>
      </c>
      <c r="N11" s="184"/>
      <c r="O11" s="176">
        <v>0</v>
      </c>
      <c r="P11" s="177"/>
      <c r="Q11" s="178"/>
      <c r="R11" s="178"/>
      <c r="S11" s="176"/>
      <c r="T11" s="176"/>
    </row>
    <row r="12" spans="1:20">
      <c r="C12" s="185"/>
      <c r="D12" s="185"/>
      <c r="E12" s="185"/>
      <c r="F12" s="185"/>
      <c r="G12" s="186">
        <f>SUM(G7:G11)</f>
        <v>25000</v>
      </c>
      <c r="H12" s="187"/>
      <c r="I12" s="188"/>
      <c r="J12" s="185"/>
      <c r="K12" s="189"/>
      <c r="L12" s="190"/>
      <c r="M12" s="185"/>
      <c r="N12" s="186">
        <f>SUM(N7:N11)</f>
        <v>11828</v>
      </c>
      <c r="O12" s="187"/>
      <c r="P12" s="188"/>
      <c r="Q12" s="185"/>
      <c r="R12" s="185"/>
      <c r="S12" s="181">
        <f>G12-N12</f>
        <v>13172</v>
      </c>
      <c r="T12" s="182">
        <f>S12/N12</f>
        <v>1.1136286777139</v>
      </c>
    </row>
    <row r="13" ht="18" spans="1:20">
      <c r="C13" s="164" t="s">
        <v>13</v>
      </c>
      <c r="D13" s="164"/>
      <c r="E13" s="164"/>
      <c r="F13" s="164"/>
      <c r="G13" s="175"/>
      <c r="H13" s="191">
        <f>SUM(H7:H11)</f>
        <v>2488000</v>
      </c>
      <c r="I13" s="188"/>
      <c r="J13" s="192"/>
      <c r="K13" s="193"/>
      <c r="L13" s="194"/>
      <c r="M13" s="164"/>
      <c r="N13" s="175"/>
      <c r="O13" s="191">
        <f>SUM(O7:O10)</f>
        <v>1213339.1498</v>
      </c>
      <c r="P13" s="188"/>
      <c r="Q13" s="192"/>
      <c r="R13" s="192"/>
      <c r="S13" s="191"/>
      <c r="T13" s="191"/>
    </row>
    <row r="14" ht="18" spans="1:20">
      <c r="A14" s="155" t="s">
        <v>14</v>
      </c>
      <c r="C14" s="164" t="s">
        <v>59</v>
      </c>
      <c r="D14" s="164"/>
      <c r="E14" s="164"/>
      <c r="F14" s="164"/>
      <c r="G14" s="188"/>
      <c r="H14" s="195">
        <f>H13/1.13*0.13</f>
        <v>286230.088495575</v>
      </c>
      <c r="I14" s="188"/>
      <c r="J14" s="192"/>
      <c r="K14" s="193"/>
      <c r="L14" s="194"/>
      <c r="M14" s="164"/>
      <c r="N14" s="188"/>
      <c r="O14" s="196">
        <f>O13/1.13*0.13</f>
        <v>139587.6898</v>
      </c>
      <c r="P14" s="188"/>
      <c r="Q14" s="192"/>
      <c r="R14" s="192"/>
      <c r="S14" s="195"/>
      <c r="T14" s="195"/>
    </row>
    <row r="15" ht="18" spans="1:20">
      <c r="C15" s="164" t="s">
        <v>60</v>
      </c>
      <c r="D15" s="164"/>
      <c r="E15" s="164"/>
      <c r="F15" s="164"/>
      <c r="G15" s="188"/>
      <c r="H15" s="197">
        <f>H13-H14+0.5</f>
        <v>2201770.41150442</v>
      </c>
      <c r="I15" s="188"/>
      <c r="J15" s="198"/>
      <c r="K15" s="193"/>
      <c r="L15" s="194"/>
      <c r="M15" s="164"/>
      <c r="N15" s="188"/>
      <c r="O15" s="197">
        <f>O13-O14</f>
        <v>1073751.46</v>
      </c>
      <c r="P15" s="188"/>
      <c r="Q15" s="192"/>
      <c r="R15" s="192"/>
      <c r="S15" s="197">
        <f>H15-O15</f>
        <v>1128018.95150442</v>
      </c>
      <c r="T15" s="199">
        <f>S15/O15</f>
        <v>1.05054008634775</v>
      </c>
    </row>
    <row r="16" spans="1:20">
      <c r="C16" s="192"/>
      <c r="D16" s="192"/>
      <c r="E16" s="192"/>
      <c r="F16" s="192"/>
      <c r="G16" s="188"/>
      <c r="H16" s="191"/>
      <c r="I16" s="188"/>
      <c r="J16" s="192"/>
      <c r="K16" s="193"/>
      <c r="L16" s="194"/>
      <c r="M16" s="192"/>
      <c r="N16" s="188"/>
      <c r="O16" s="191"/>
      <c r="P16" s="188"/>
      <c r="Q16" s="192"/>
      <c r="R16" s="192"/>
      <c r="S16" s="191"/>
      <c r="T16" s="191"/>
    </row>
    <row r="17" spans="1:20">
      <c r="G17" s="188"/>
      <c r="H17" s="200"/>
      <c r="I17" s="188"/>
      <c r="K17" s="201"/>
      <c r="L17" s="202"/>
      <c r="N17" s="188"/>
      <c r="O17" s="200"/>
      <c r="P17" s="188"/>
      <c r="S17" s="200"/>
      <c r="T17" s="200"/>
    </row>
    <row r="18" ht="21" spans="1:20">
      <c r="A18" s="160">
        <v>2</v>
      </c>
      <c r="B18" s="161"/>
      <c r="C18" s="161" t="s">
        <v>61</v>
      </c>
      <c r="D18" s="161"/>
      <c r="E18" s="161"/>
      <c r="F18" s="161"/>
      <c r="G18" s="203"/>
      <c r="H18" s="176"/>
      <c r="I18" s="203"/>
      <c r="J18" s="204"/>
      <c r="K18" s="205"/>
      <c r="L18" s="161"/>
      <c r="M18" s="161"/>
      <c r="N18" s="203"/>
      <c r="O18" s="176"/>
      <c r="P18" s="203"/>
      <c r="Q18" s="204"/>
      <c r="R18" s="204"/>
      <c r="S18" s="176"/>
      <c r="T18" s="176"/>
    </row>
    <row r="19" ht="18" spans="1:20">
      <c r="C19" s="164" t="s">
        <v>62</v>
      </c>
      <c r="D19" s="164"/>
      <c r="E19" s="164"/>
      <c r="F19" s="164"/>
      <c r="G19" s="166" t="s">
        <v>7</v>
      </c>
      <c r="H19" s="176"/>
      <c r="I19" s="166" t="s">
        <v>63</v>
      </c>
      <c r="J19" s="206"/>
      <c r="K19" s="207"/>
      <c r="L19" s="164"/>
      <c r="M19" s="164"/>
      <c r="N19" s="166" t="s">
        <v>7</v>
      </c>
      <c r="O19" s="176"/>
      <c r="P19" s="166" t="s">
        <v>63</v>
      </c>
      <c r="Q19" s="206"/>
      <c r="R19" s="206"/>
      <c r="S19" s="176"/>
      <c r="T19" s="176"/>
    </row>
    <row r="20" ht="18" spans="1:20">
      <c r="A20" s="188" t="s">
        <v>64</v>
      </c>
      <c r="C20" s="192" t="s">
        <v>65</v>
      </c>
      <c r="D20" s="164"/>
      <c r="E20" s="164"/>
      <c r="F20" s="164"/>
      <c r="G20" s="166"/>
      <c r="H20" s="176"/>
      <c r="I20" s="166"/>
      <c r="J20" s="206"/>
      <c r="K20" s="207"/>
      <c r="L20" s="164"/>
      <c r="M20" s="164"/>
      <c r="N20" s="166"/>
      <c r="O20" s="176"/>
      <c r="P20" s="166"/>
      <c r="Q20" s="206"/>
      <c r="R20" s="206"/>
      <c r="S20" s="176"/>
      <c r="T20" s="176"/>
    </row>
    <row r="21" spans="1:20">
      <c r="C21" s="155" t="s">
        <v>66</v>
      </c>
      <c r="E21" s="155" t="s">
        <v>51</v>
      </c>
      <c r="G21" s="175">
        <f>G7</f>
        <v>2000</v>
      </c>
      <c r="H21" s="176">
        <f>G21*I21</f>
        <v>84591.8</v>
      </c>
      <c r="I21" s="177">
        <f>37.43*1.13</f>
        <v>42.2959</v>
      </c>
      <c r="K21" s="201"/>
      <c r="L21" s="155" t="s">
        <v>51</v>
      </c>
      <c r="N21" s="175">
        <v>1500</v>
      </c>
      <c r="O21" s="176">
        <f>N21*P21</f>
        <v>44764.95</v>
      </c>
      <c r="P21" s="177">
        <f>26.41*1.13</f>
        <v>29.8433</v>
      </c>
      <c r="S21" s="176">
        <f>H21-O21</f>
        <v>39826.85</v>
      </c>
      <c r="T21" s="208">
        <f>S21/O21</f>
        <v>0.88968824940048</v>
      </c>
    </row>
    <row r="22" spans="1:20">
      <c r="C22" s="155" t="s">
        <v>67</v>
      </c>
      <c r="E22" s="155" t="s">
        <v>54</v>
      </c>
      <c r="G22" s="175">
        <f>G8</f>
        <v>4000</v>
      </c>
      <c r="H22" s="176">
        <f t="shared" ref="H22:H25" si="4">G22*I22</f>
        <v>126017.6</v>
      </c>
      <c r="I22" s="177">
        <f>27.88*1.13</f>
        <v>31.5044</v>
      </c>
      <c r="K22" s="201"/>
      <c r="L22" s="155" t="s">
        <v>54</v>
      </c>
      <c r="N22" s="175">
        <f>3300-22</f>
        <v>3278</v>
      </c>
      <c r="O22" s="176">
        <f>N22*P22</f>
        <v>79268.596</v>
      </c>
      <c r="P22" s="177">
        <f>21.4*1.13</f>
        <v>24.182</v>
      </c>
      <c r="S22" s="176">
        <f t="shared" ref="S22:S56" si="5">H22-O22</f>
        <v>46749.004</v>
      </c>
      <c r="T22" s="208">
        <f t="shared" ref="T22:T56" si="6">S22/O22</f>
        <v>0.58975440917359</v>
      </c>
    </row>
    <row r="23" hidden="1" spans="1:20">
      <c r="C23" s="155" t="s">
        <v>11</v>
      </c>
      <c r="G23" s="175">
        <v>0</v>
      </c>
      <c r="H23" s="176">
        <f t="shared" si="4"/>
        <v>0</v>
      </c>
      <c r="I23" s="177"/>
      <c r="K23" s="201"/>
      <c r="N23" s="175">
        <f t="shared" ref="N23" si="7">N9</f>
        <v>0</v>
      </c>
      <c r="O23" s="176">
        <f t="shared" ref="O23" si="8">N23*P23</f>
        <v>0</v>
      </c>
      <c r="P23" s="177"/>
      <c r="S23" s="176">
        <f t="shared" si="5"/>
        <v>0</v>
      </c>
      <c r="T23" s="208" t="e">
        <f t="shared" si="6"/>
        <v>#DIV/0!</v>
      </c>
    </row>
    <row r="24" spans="1:20">
      <c r="C24" s="155" t="s">
        <v>57</v>
      </c>
      <c r="E24" s="155" t="s">
        <v>56</v>
      </c>
      <c r="G24" s="175">
        <v>9400</v>
      </c>
      <c r="H24" s="176">
        <f t="shared" si="4"/>
        <v>207766.32</v>
      </c>
      <c r="I24" s="177">
        <f>19.56*1.13</f>
        <v>22.1028</v>
      </c>
      <c r="J24" s="177"/>
      <c r="K24" s="201"/>
      <c r="L24" s="155" t="s">
        <v>56</v>
      </c>
      <c r="N24" s="175">
        <f>18000+400-969-277</f>
        <v>17154</v>
      </c>
      <c r="O24" s="176">
        <f>(263692.2+5856-14186.16-4055.28)*1.13</f>
        <v>283976.6388</v>
      </c>
      <c r="P24" s="177">
        <f>O24/N24</f>
        <v>16.5545434767401</v>
      </c>
      <c r="S24" s="176">
        <f t="shared" si="5"/>
        <v>-76210.3188</v>
      </c>
      <c r="T24" s="208">
        <f t="shared" si="6"/>
        <v>-0.268368268326726</v>
      </c>
    </row>
    <row r="25" spans="1:20">
      <c r="C25" s="155" t="s">
        <v>68</v>
      </c>
      <c r="E25" s="155" t="s">
        <v>56</v>
      </c>
      <c r="G25" s="175">
        <v>10000</v>
      </c>
      <c r="H25" s="176">
        <f t="shared" si="4"/>
        <v>244984</v>
      </c>
      <c r="I25" s="177">
        <f>21.68*1.13</f>
        <v>24.4984</v>
      </c>
      <c r="J25" s="177"/>
      <c r="K25" s="201"/>
      <c r="N25" s="175"/>
      <c r="O25" s="176"/>
      <c r="P25" s="177"/>
      <c r="S25" s="176"/>
      <c r="T25" s="208"/>
    </row>
    <row r="26" spans="1:20">
      <c r="G26" s="175"/>
      <c r="H26" s="176"/>
      <c r="I26" s="177"/>
      <c r="K26" s="201"/>
      <c r="N26" s="175"/>
      <c r="O26" s="176"/>
      <c r="P26" s="177"/>
      <c r="S26" s="176"/>
      <c r="T26" s="208"/>
    </row>
    <row r="27" spans="1:20">
      <c r="A27" s="188" t="s">
        <v>69</v>
      </c>
      <c r="C27" s="192" t="s">
        <v>7</v>
      </c>
      <c r="G27" s="175"/>
      <c r="H27" s="176"/>
      <c r="I27" s="177"/>
      <c r="K27" s="201"/>
      <c r="N27" s="175"/>
      <c r="O27" s="176"/>
      <c r="P27" s="177"/>
      <c r="S27" s="176"/>
      <c r="T27" s="208"/>
    </row>
    <row r="28" spans="1:20">
      <c r="C28" s="155" t="s">
        <v>66</v>
      </c>
      <c r="E28" s="155" t="s">
        <v>51</v>
      </c>
      <c r="G28" s="175">
        <f>G7</f>
        <v>2000</v>
      </c>
      <c r="H28" s="176">
        <f>G28*I28</f>
        <v>65607.8</v>
      </c>
      <c r="I28" s="177">
        <f>29.03*1.13</f>
        <v>32.8039</v>
      </c>
      <c r="K28" s="201"/>
      <c r="L28" s="155" t="s">
        <v>51</v>
      </c>
      <c r="N28" s="175">
        <v>1474</v>
      </c>
      <c r="O28" s="176">
        <f>N28*P28</f>
        <v>53799.526</v>
      </c>
      <c r="P28" s="177">
        <f>32.3*1.13</f>
        <v>36.499</v>
      </c>
      <c r="S28" s="176">
        <f t="shared" si="5"/>
        <v>11808.274</v>
      </c>
      <c r="T28" s="208">
        <f t="shared" si="6"/>
        <v>0.219486580606677</v>
      </c>
    </row>
    <row r="29" spans="1:20">
      <c r="C29" s="155" t="s">
        <v>67</v>
      </c>
      <c r="E29" s="155" t="s">
        <v>54</v>
      </c>
      <c r="G29" s="175">
        <f>G8</f>
        <v>4000</v>
      </c>
      <c r="H29" s="176">
        <f t="shared" ref="H29:H32" si="9">G29*I29</f>
        <v>107214.4</v>
      </c>
      <c r="I29" s="177">
        <f>23.72*1.13</f>
        <v>26.8036</v>
      </c>
      <c r="K29" s="201"/>
      <c r="L29" s="155" t="s">
        <v>54</v>
      </c>
      <c r="N29" s="175">
        <v>3180</v>
      </c>
      <c r="O29" s="176">
        <f t="shared" ref="O29:O30" si="10">N29*P29</f>
        <v>74742.72</v>
      </c>
      <c r="P29" s="177">
        <f>20.8*1.13</f>
        <v>23.504</v>
      </c>
      <c r="S29" s="176">
        <f t="shared" si="5"/>
        <v>32471.68</v>
      </c>
      <c r="T29" s="208">
        <f t="shared" si="6"/>
        <v>0.434446057087567</v>
      </c>
    </row>
    <row r="30" hidden="1" spans="1:20">
      <c r="C30" s="155" t="s">
        <v>11</v>
      </c>
      <c r="G30" s="175">
        <v>0</v>
      </c>
      <c r="H30" s="176">
        <f t="shared" si="9"/>
        <v>0</v>
      </c>
      <c r="I30" s="177"/>
      <c r="K30" s="201"/>
      <c r="N30" s="175">
        <v>0</v>
      </c>
      <c r="O30" s="176">
        <f t="shared" si="10"/>
        <v>0</v>
      </c>
      <c r="P30" s="177"/>
      <c r="S30" s="176">
        <f t="shared" si="5"/>
        <v>0</v>
      </c>
      <c r="T30" s="208" t="e">
        <f t="shared" si="6"/>
        <v>#DIV/0!</v>
      </c>
    </row>
    <row r="31" spans="1:20">
      <c r="C31" s="155" t="s">
        <v>57</v>
      </c>
      <c r="E31" s="155" t="s">
        <v>56</v>
      </c>
      <c r="G31" s="175">
        <v>9400</v>
      </c>
      <c r="H31" s="176">
        <f t="shared" si="9"/>
        <v>155100</v>
      </c>
      <c r="I31" s="177">
        <v>16.5</v>
      </c>
      <c r="J31" s="177"/>
      <c r="K31" s="201"/>
      <c r="L31" s="155" t="s">
        <v>56</v>
      </c>
      <c r="N31" s="175">
        <v>7024</v>
      </c>
      <c r="O31" s="176">
        <f>102574.7*1.13</f>
        <v>115909.411</v>
      </c>
      <c r="P31" s="177">
        <f>O31/N31</f>
        <v>16.5019093109339</v>
      </c>
      <c r="S31" s="176">
        <f t="shared" si="5"/>
        <v>39190.589</v>
      </c>
      <c r="T31" s="208">
        <f t="shared" si="6"/>
        <v>0.338113951765314</v>
      </c>
    </row>
    <row r="32" spans="1:20">
      <c r="C32" s="155" t="s">
        <v>68</v>
      </c>
      <c r="E32" s="155" t="s">
        <v>56</v>
      </c>
      <c r="G32" s="175">
        <v>10400</v>
      </c>
      <c r="H32" s="176">
        <f t="shared" si="9"/>
        <v>197551.12</v>
      </c>
      <c r="I32" s="177">
        <f>16.81*1.13</f>
        <v>18.9953</v>
      </c>
      <c r="J32" s="177"/>
      <c r="K32" s="201"/>
      <c r="N32" s="175"/>
      <c r="O32" s="176"/>
      <c r="P32" s="177"/>
      <c r="S32" s="176"/>
      <c r="T32" s="208"/>
    </row>
    <row r="33" spans="1:21">
      <c r="G33" s="175"/>
      <c r="H33" s="176"/>
      <c r="I33" s="177"/>
      <c r="K33" s="201"/>
      <c r="N33" s="175"/>
      <c r="O33" s="176"/>
      <c r="P33" s="177"/>
      <c r="S33" s="176"/>
      <c r="T33" s="208"/>
    </row>
    <row r="34" spans="1:21">
      <c r="A34" s="188" t="s">
        <v>69</v>
      </c>
      <c r="C34" s="192" t="s">
        <v>70</v>
      </c>
      <c r="G34" s="175"/>
      <c r="H34" s="176"/>
      <c r="I34" s="177"/>
      <c r="K34" s="201"/>
      <c r="L34" s="188"/>
      <c r="N34" s="192"/>
      <c r="R34" s="175"/>
      <c r="S34" s="176"/>
      <c r="T34" s="208"/>
    </row>
    <row r="35" spans="1:21">
      <c r="C35" s="155" t="s">
        <v>71</v>
      </c>
      <c r="E35" s="155" t="s">
        <v>72</v>
      </c>
      <c r="G35" s="175">
        <v>4000</v>
      </c>
      <c r="H35" s="176">
        <f>G35*I35</f>
        <v>96040</v>
      </c>
      <c r="I35" s="177">
        <v>24.01</v>
      </c>
      <c r="K35" s="201"/>
      <c r="L35" s="155" t="s">
        <v>72</v>
      </c>
      <c r="N35" s="175">
        <v>0</v>
      </c>
      <c r="O35" s="176">
        <v>0</v>
      </c>
      <c r="P35" s="177">
        <v>0</v>
      </c>
      <c r="R35" s="175"/>
      <c r="S35" s="176"/>
      <c r="T35" s="208"/>
    </row>
    <row r="36" spans="1:21">
      <c r="C36" s="155" t="s">
        <v>73</v>
      </c>
      <c r="E36" s="155" t="s">
        <v>74</v>
      </c>
      <c r="G36" s="175">
        <v>2000</v>
      </c>
      <c r="H36" s="176">
        <f>G36*I36</f>
        <v>74160</v>
      </c>
      <c r="I36" s="177">
        <v>37.08</v>
      </c>
      <c r="K36" s="201"/>
      <c r="L36" s="155" t="s">
        <v>74</v>
      </c>
      <c r="N36" s="175">
        <v>0</v>
      </c>
      <c r="O36" s="176">
        <v>0</v>
      </c>
      <c r="P36" s="177">
        <v>0</v>
      </c>
      <c r="R36" s="175"/>
      <c r="S36" s="176"/>
      <c r="T36" s="208"/>
    </row>
    <row r="37" spans="1:21">
      <c r="G37" s="175"/>
      <c r="H37" s="176"/>
      <c r="I37" s="177"/>
      <c r="K37" s="201"/>
      <c r="N37" s="175"/>
      <c r="O37" s="176"/>
      <c r="P37" s="177"/>
      <c r="R37" s="175"/>
      <c r="S37" s="176"/>
      <c r="T37" s="208"/>
    </row>
    <row r="38" ht="15.75" customHeight="1" spans="1:21">
      <c r="C38" s="209" t="s">
        <v>20</v>
      </c>
      <c r="D38" s="209"/>
      <c r="E38" s="209"/>
      <c r="F38" s="209"/>
      <c r="G38" s="210">
        <f>SUM(G21:G24)</f>
        <v>15400</v>
      </c>
      <c r="H38" s="211">
        <f>SUM(H21:H36)</f>
        <v>1359033.04</v>
      </c>
      <c r="I38" s="188"/>
      <c r="J38" s="212"/>
      <c r="K38" s="213"/>
      <c r="L38" s="164"/>
      <c r="M38" s="164"/>
      <c r="N38" s="210">
        <f>SUM(N21:N24)</f>
        <v>21932</v>
      </c>
      <c r="O38" s="211">
        <f>SUM(O21:O33)</f>
        <v>652461.8418</v>
      </c>
      <c r="P38" s="188"/>
      <c r="Q38" s="214"/>
      <c r="R38" s="212"/>
      <c r="S38" s="176">
        <f t="shared" si="5"/>
        <v>706571.1982</v>
      </c>
      <c r="T38" s="208">
        <f t="shared" si="6"/>
        <v>1.08293106651375</v>
      </c>
    </row>
    <row r="39" ht="19.5" customHeight="1" spans="1:21">
      <c r="A39" s="155" t="s">
        <v>14</v>
      </c>
      <c r="C39" s="161" t="s">
        <v>75</v>
      </c>
      <c r="D39" s="161"/>
      <c r="E39" s="161"/>
      <c r="F39" s="161"/>
      <c r="G39" s="215"/>
      <c r="H39" s="191">
        <f>SUM(H21:H32)/1.13*0.13+H35/1.13*0.13+H36/1.03*0.03</f>
        <v>149977.252389381</v>
      </c>
      <c r="I39" s="188"/>
      <c r="J39" s="212"/>
      <c r="K39" s="213"/>
      <c r="N39" s="215"/>
      <c r="O39" s="191">
        <f>O38/1.13*0.13</f>
        <v>75061.9818</v>
      </c>
      <c r="P39" s="188"/>
      <c r="Q39" s="216"/>
      <c r="R39" s="212"/>
      <c r="S39" s="176">
        <f t="shared" si="5"/>
        <v>74915.2705893805</v>
      </c>
      <c r="T39" s="208">
        <f t="shared" si="6"/>
        <v>0.998045465799046</v>
      </c>
    </row>
    <row r="40" hidden="1" spans="1:21">
      <c r="C40" s="192" t="s">
        <v>76</v>
      </c>
      <c r="D40" s="192"/>
      <c r="E40" s="192"/>
      <c r="F40" s="192"/>
      <c r="G40" s="188"/>
      <c r="H40" s="217"/>
      <c r="I40" s="218">
        <f>-H40/H15</f>
        <v>0</v>
      </c>
      <c r="J40" s="216"/>
      <c r="K40" s="219"/>
      <c r="L40" s="220"/>
      <c r="M40" s="220"/>
      <c r="N40" s="188"/>
      <c r="O40" s="217"/>
      <c r="P40" s="221"/>
      <c r="Q40" s="220"/>
      <c r="R40" s="216"/>
      <c r="S40" s="176">
        <f t="shared" si="5"/>
        <v>0</v>
      </c>
      <c r="T40" s="208" t="e">
        <f t="shared" si="6"/>
        <v>#DIV/0!</v>
      </c>
    </row>
    <row r="41" spans="1:21">
      <c r="G41" s="188"/>
      <c r="H41" s="191"/>
      <c r="I41" s="188"/>
      <c r="J41" s="216"/>
      <c r="K41" s="219"/>
      <c r="L41" s="212"/>
      <c r="M41" s="212"/>
      <c r="N41" s="188"/>
      <c r="O41" s="191"/>
      <c r="P41" s="188"/>
      <c r="Q41" s="212"/>
      <c r="R41" s="216"/>
      <c r="S41" s="176"/>
      <c r="T41" s="208"/>
    </row>
    <row r="42" ht="21" spans="1:21">
      <c r="C42" s="164" t="s">
        <v>77</v>
      </c>
      <c r="D42" s="164"/>
      <c r="E42" s="164"/>
      <c r="F42" s="164"/>
      <c r="G42" s="188"/>
      <c r="H42" s="223">
        <f>H38-H39</f>
        <v>1209055.78761062</v>
      </c>
      <c r="I42" s="188"/>
      <c r="J42" s="214"/>
      <c r="K42" s="219"/>
      <c r="L42" s="161"/>
      <c r="M42" s="161"/>
      <c r="N42" s="188"/>
      <c r="O42" s="223">
        <f>O38-O39</f>
        <v>577399.86</v>
      </c>
      <c r="P42" s="188"/>
      <c r="Q42" s="224"/>
      <c r="R42" s="216"/>
      <c r="S42" s="176">
        <f t="shared" si="5"/>
        <v>631655.927610619</v>
      </c>
      <c r="T42" s="208">
        <f t="shared" si="6"/>
        <v>1.09396619460666</v>
      </c>
    </row>
    <row r="43" spans="1:21">
      <c r="G43" s="188"/>
      <c r="H43" s="200"/>
      <c r="I43" s="188"/>
      <c r="J43" s="216"/>
      <c r="K43" s="219"/>
      <c r="L43" s="212"/>
      <c r="M43" s="212"/>
      <c r="N43" s="188"/>
      <c r="O43" s="225"/>
      <c r="P43" s="226"/>
      <c r="Q43" s="212"/>
      <c r="R43" s="216"/>
      <c r="S43" s="176"/>
      <c r="T43" s="208"/>
    </row>
    <row r="44" spans="1:21">
      <c r="A44" s="227"/>
      <c r="B44" s="227"/>
      <c r="C44" s="220"/>
      <c r="D44" s="220"/>
      <c r="E44" s="220"/>
      <c r="F44" s="220"/>
      <c r="G44" s="221"/>
      <c r="H44" s="228"/>
      <c r="I44" s="221"/>
      <c r="J44" s="220"/>
      <c r="K44" s="229"/>
      <c r="L44" s="212"/>
      <c r="M44" s="212"/>
      <c r="N44" s="188"/>
      <c r="O44" s="225"/>
      <c r="P44" s="226"/>
      <c r="Q44" s="212"/>
      <c r="R44" s="220"/>
      <c r="S44" s="176"/>
      <c r="T44" s="208"/>
    </row>
    <row r="45" spans="1:21">
      <c r="C45" s="212"/>
      <c r="D45" s="212"/>
      <c r="E45" s="212"/>
      <c r="F45" s="212"/>
      <c r="G45" s="188"/>
      <c r="H45" s="200"/>
      <c r="I45" s="188"/>
      <c r="J45" s="212"/>
      <c r="K45" s="213"/>
      <c r="L45" s="212"/>
      <c r="M45" s="212"/>
      <c r="N45" s="188"/>
      <c r="O45" s="225"/>
      <c r="P45" s="226"/>
      <c r="Q45" s="212"/>
      <c r="R45" s="212"/>
      <c r="S45" s="176"/>
      <c r="T45" s="208"/>
    </row>
    <row r="46" ht="21" spans="1:21">
      <c r="A46" s="160">
        <v>3</v>
      </c>
      <c r="B46" s="161"/>
      <c r="C46" s="161" t="s">
        <v>24</v>
      </c>
      <c r="D46" s="161"/>
      <c r="E46" s="161"/>
      <c r="F46" s="161"/>
      <c r="G46" s="188"/>
      <c r="H46" s="200"/>
      <c r="I46" s="188"/>
      <c r="J46" s="224"/>
      <c r="K46" s="230"/>
      <c r="L46" s="212"/>
      <c r="M46" s="212"/>
      <c r="N46" s="188"/>
      <c r="O46" s="225"/>
      <c r="P46" s="226"/>
      <c r="Q46" s="212"/>
      <c r="R46" s="224"/>
      <c r="S46" s="176"/>
      <c r="T46" s="208"/>
    </row>
    <row r="47" ht="21" spans="1:21">
      <c r="A47" s="231"/>
      <c r="C47" s="212" t="s">
        <v>78</v>
      </c>
      <c r="D47" s="212"/>
      <c r="E47" s="212"/>
      <c r="F47" s="212"/>
      <c r="G47" s="188"/>
      <c r="H47" s="225">
        <v>25000</v>
      </c>
      <c r="I47" s="226">
        <f>H47/$H$15</f>
        <v>0.0113544990292235</v>
      </c>
      <c r="J47" s="212"/>
      <c r="K47" s="213"/>
      <c r="L47" s="212"/>
      <c r="M47" s="212"/>
      <c r="N47" s="188"/>
      <c r="O47" s="225">
        <f>12848+2369</f>
        <v>15217</v>
      </c>
      <c r="P47" s="226">
        <f>O47/$O$15</f>
        <v>0.0141718084369357</v>
      </c>
      <c r="Q47" s="212"/>
      <c r="R47" s="212"/>
      <c r="S47" s="176">
        <f t="shared" si="5"/>
        <v>9783</v>
      </c>
      <c r="T47" s="208">
        <f t="shared" si="6"/>
        <v>0.642899388841427</v>
      </c>
      <c r="U47" s="232"/>
    </row>
    <row r="48" ht="21" spans="1:21">
      <c r="A48" s="231"/>
      <c r="C48" s="212" t="s">
        <v>79</v>
      </c>
      <c r="D48" s="212"/>
      <c r="E48" s="212"/>
      <c r="F48" s="212"/>
      <c r="G48" s="188"/>
      <c r="H48" s="225">
        <v>650</v>
      </c>
      <c r="I48" s="226">
        <f t="shared" ref="I48:I56" si="11">H48/$H$15</f>
        <v>0.000295216974759811</v>
      </c>
      <c r="J48" s="212"/>
      <c r="K48" s="213"/>
      <c r="L48" s="212"/>
      <c r="M48" s="212"/>
      <c r="N48" s="188"/>
      <c r="O48" s="225"/>
      <c r="P48" s="226"/>
      <c r="Q48" s="212"/>
      <c r="R48" s="212"/>
      <c r="S48" s="176">
        <f t="shared" si="5"/>
        <v>650</v>
      </c>
      <c r="T48" s="208"/>
    </row>
    <row r="49" ht="21" spans="1:20">
      <c r="A49" s="231"/>
      <c r="C49" s="212" t="s">
        <v>80</v>
      </c>
      <c r="D49" s="212"/>
      <c r="E49" s="212"/>
      <c r="F49" s="212"/>
      <c r="G49" s="188"/>
      <c r="H49" s="225">
        <v>3000</v>
      </c>
      <c r="I49" s="226">
        <f t="shared" si="11"/>
        <v>0.00136253988350682</v>
      </c>
      <c r="J49" s="212"/>
      <c r="K49" s="213"/>
      <c r="L49" s="212"/>
      <c r="M49" s="212"/>
      <c r="N49" s="188"/>
      <c r="O49" s="225">
        <v>2133</v>
      </c>
      <c r="P49" s="226">
        <f t="shared" ref="P49:P56" si="12">O49/$O$15</f>
        <v>0.00198649322441899</v>
      </c>
      <c r="Q49" s="212"/>
      <c r="R49" s="212"/>
      <c r="S49" s="176">
        <f t="shared" si="5"/>
        <v>867</v>
      </c>
      <c r="T49" s="208">
        <f t="shared" si="6"/>
        <v>0.406469760900141</v>
      </c>
    </row>
    <row r="50" ht="21" spans="1:20">
      <c r="A50" s="231"/>
      <c r="C50" s="212" t="s">
        <v>81</v>
      </c>
      <c r="D50" s="212"/>
      <c r="E50" s="212"/>
      <c r="F50" s="212"/>
      <c r="G50" s="188"/>
      <c r="H50" s="225">
        <v>17000</v>
      </c>
      <c r="I50" s="226">
        <f t="shared" si="11"/>
        <v>0.00772105933987197</v>
      </c>
      <c r="J50" s="212"/>
      <c r="K50" s="213"/>
      <c r="L50" s="212"/>
      <c r="M50" s="212"/>
      <c r="N50" s="188"/>
      <c r="O50" s="225">
        <v>32303</v>
      </c>
      <c r="P50" s="226">
        <f t="shared" si="12"/>
        <v>0.0300842431450571</v>
      </c>
      <c r="Q50" s="212"/>
      <c r="R50" s="212"/>
      <c r="S50" s="176">
        <f t="shared" si="5"/>
        <v>-15303</v>
      </c>
      <c r="T50" s="208">
        <f t="shared" si="6"/>
        <v>-0.4737330898059</v>
      </c>
    </row>
    <row r="51" ht="21" spans="1:20">
      <c r="A51" s="231"/>
      <c r="C51" s="212" t="s">
        <v>82</v>
      </c>
      <c r="D51" s="212"/>
      <c r="E51" s="212"/>
      <c r="F51" s="212"/>
      <c r="G51" s="188"/>
      <c r="H51" s="225">
        <v>500</v>
      </c>
      <c r="I51" s="226">
        <f t="shared" si="11"/>
        <v>0.00022708998058447</v>
      </c>
      <c r="J51" s="212"/>
      <c r="K51" s="213"/>
      <c r="L51" s="212"/>
      <c r="M51" s="212"/>
      <c r="N51" s="188"/>
      <c r="O51" s="225"/>
      <c r="P51" s="226"/>
      <c r="Q51" s="212"/>
      <c r="R51" s="212"/>
      <c r="S51" s="176">
        <f t="shared" si="5"/>
        <v>500</v>
      </c>
      <c r="T51" s="208" t="e">
        <f t="shared" si="6"/>
        <v>#DIV/0!</v>
      </c>
    </row>
    <row r="52" ht="21" hidden="1" spans="1:20">
      <c r="A52" s="231"/>
      <c r="C52" s="212" t="s">
        <v>83</v>
      </c>
      <c r="D52" s="212"/>
      <c r="E52" s="212"/>
      <c r="F52" s="212"/>
      <c r="G52" s="188"/>
      <c r="H52" s="225"/>
      <c r="I52" s="226">
        <f t="shared" si="11"/>
        <v>0</v>
      </c>
      <c r="J52" s="212"/>
      <c r="K52" s="213"/>
      <c r="L52" s="209"/>
      <c r="M52" s="209"/>
      <c r="N52" s="188"/>
      <c r="O52" s="225"/>
      <c r="P52" s="226">
        <f t="shared" si="12"/>
        <v>0</v>
      </c>
      <c r="Q52" s="192"/>
      <c r="R52" s="212"/>
      <c r="S52" s="176">
        <f t="shared" si="5"/>
        <v>0</v>
      </c>
      <c r="T52" s="208" t="e">
        <f t="shared" si="6"/>
        <v>#DIV/0!</v>
      </c>
    </row>
    <row r="53" ht="21" spans="1:20">
      <c r="A53" s="231"/>
      <c r="C53" s="212" t="s">
        <v>84</v>
      </c>
      <c r="D53" s="212"/>
      <c r="E53" s="212"/>
      <c r="F53" s="212"/>
      <c r="G53" s="188"/>
      <c r="H53" s="225">
        <v>2600</v>
      </c>
      <c r="I53" s="226">
        <f t="shared" si="11"/>
        <v>0.00118086789903924</v>
      </c>
      <c r="J53" s="212"/>
      <c r="K53" s="213"/>
      <c r="L53" s="212"/>
      <c r="M53" s="212"/>
      <c r="N53" s="188"/>
      <c r="O53" s="225"/>
      <c r="P53" s="226"/>
      <c r="Q53" s="212"/>
      <c r="R53" s="212"/>
      <c r="S53" s="176">
        <f t="shared" si="5"/>
        <v>2600</v>
      </c>
      <c r="T53" s="208" t="e">
        <f t="shared" si="6"/>
        <v>#DIV/0!</v>
      </c>
    </row>
    <row r="54" ht="21" spans="1:20">
      <c r="A54" s="231"/>
      <c r="C54" s="212" t="s">
        <v>85</v>
      </c>
      <c r="D54" s="212"/>
      <c r="E54" s="212"/>
      <c r="F54" s="212"/>
      <c r="G54" s="188"/>
      <c r="H54" s="225">
        <v>6000</v>
      </c>
      <c r="I54" s="226">
        <f t="shared" si="11"/>
        <v>0.00272507976701364</v>
      </c>
      <c r="J54" s="212"/>
      <c r="K54" s="213"/>
      <c r="L54" s="212"/>
      <c r="M54" s="212"/>
      <c r="N54" s="188"/>
      <c r="O54" s="225">
        <v>5059</v>
      </c>
      <c r="P54" s="226">
        <f t="shared" si="12"/>
        <v>0.00471151862275466</v>
      </c>
      <c r="Q54" s="212"/>
      <c r="R54" s="212"/>
      <c r="S54" s="176">
        <f t="shared" si="5"/>
        <v>941</v>
      </c>
      <c r="T54" s="208">
        <f t="shared" si="6"/>
        <v>0.186005139355604</v>
      </c>
    </row>
    <row r="55" ht="21" spans="1:20">
      <c r="A55" s="231"/>
      <c r="C55" s="212" t="s">
        <v>86</v>
      </c>
      <c r="D55" s="212"/>
      <c r="E55" s="212"/>
      <c r="F55" s="212"/>
      <c r="G55" s="188"/>
      <c r="H55" s="176">
        <v>15000</v>
      </c>
      <c r="I55" s="226">
        <f t="shared" si="11"/>
        <v>0.0068126994175341</v>
      </c>
      <c r="J55" s="212"/>
      <c r="K55" s="213"/>
      <c r="L55" s="233"/>
      <c r="M55" s="233"/>
      <c r="N55" s="188"/>
      <c r="O55" s="176">
        <v>6471.08</v>
      </c>
      <c r="P55" s="226">
        <f t="shared" si="12"/>
        <v>0.0060266088020034</v>
      </c>
      <c r="Q55" s="192"/>
      <c r="R55" s="212"/>
      <c r="S55" s="176">
        <f t="shared" si="5"/>
        <v>8528.92</v>
      </c>
      <c r="T55" s="208">
        <f t="shared" si="6"/>
        <v>1.31800564975244</v>
      </c>
    </row>
    <row r="56" ht="18" spans="1:20">
      <c r="C56" s="209" t="s">
        <v>87</v>
      </c>
      <c r="D56" s="209"/>
      <c r="E56" s="209"/>
      <c r="F56" s="209"/>
      <c r="G56" s="188"/>
      <c r="H56" s="197">
        <f>SUM(H47:H55)</f>
        <v>69750</v>
      </c>
      <c r="I56" s="226">
        <f t="shared" si="11"/>
        <v>0.0316790522915335</v>
      </c>
      <c r="J56" s="192"/>
      <c r="K56" s="193"/>
      <c r="L56" s="233"/>
      <c r="M56" s="233"/>
      <c r="N56" s="188"/>
      <c r="O56" s="197">
        <f>SUM(O47:O55)</f>
        <v>61183.08</v>
      </c>
      <c r="P56" s="226">
        <f t="shared" si="12"/>
        <v>0.0569806722311698</v>
      </c>
      <c r="Q56" s="192"/>
      <c r="R56" s="192"/>
      <c r="S56" s="217">
        <f t="shared" si="5"/>
        <v>8566.92</v>
      </c>
      <c r="T56" s="235">
        <f t="shared" si="6"/>
        <v>0.140021064647285</v>
      </c>
    </row>
    <row r="57" spans="1:20">
      <c r="C57" s="212"/>
      <c r="D57" s="212"/>
      <c r="E57" s="212"/>
      <c r="F57" s="212"/>
      <c r="G57" s="188"/>
      <c r="H57" s="200"/>
      <c r="I57" s="188"/>
      <c r="J57" s="212"/>
      <c r="K57" s="213"/>
      <c r="L57" s="212"/>
      <c r="M57" s="212"/>
      <c r="N57" s="188"/>
      <c r="O57" s="200"/>
      <c r="P57" s="188"/>
      <c r="Q57" s="212"/>
      <c r="R57" s="212"/>
      <c r="S57" s="200"/>
      <c r="T57" s="200"/>
    </row>
    <row r="58" ht="15.75" customHeight="1" spans="1:20">
      <c r="A58" s="231"/>
      <c r="C58" s="212"/>
      <c r="D58" s="212"/>
      <c r="E58" s="212"/>
      <c r="F58" s="212"/>
      <c r="G58" s="188"/>
      <c r="H58" s="191"/>
      <c r="I58" s="188"/>
      <c r="J58" s="212"/>
      <c r="K58" s="213"/>
      <c r="L58" s="161"/>
      <c r="M58" s="161"/>
      <c r="N58" s="236"/>
      <c r="O58" s="191"/>
      <c r="P58" s="188"/>
      <c r="Q58" s="164"/>
      <c r="R58" s="212"/>
      <c r="S58" s="191"/>
      <c r="T58" s="191"/>
    </row>
    <row r="59" ht="18" spans="1:20">
      <c r="C59" s="233" t="s">
        <v>88</v>
      </c>
      <c r="D59" s="233"/>
      <c r="E59" s="233"/>
      <c r="F59" s="233"/>
      <c r="G59" s="188"/>
      <c r="H59" s="237">
        <f>H42+H56</f>
        <v>1278805.78761062</v>
      </c>
      <c r="I59" s="188"/>
      <c r="J59" s="192"/>
      <c r="K59" s="193"/>
      <c r="L59" s="238"/>
      <c r="M59" s="238"/>
      <c r="N59" s="236"/>
      <c r="O59" s="237">
        <f>O42+O56</f>
        <v>638582.94</v>
      </c>
      <c r="P59" s="188"/>
      <c r="Q59" s="238"/>
      <c r="R59" s="192"/>
      <c r="S59" s="237">
        <f>H59-O59</f>
        <v>640222.847610619</v>
      </c>
      <c r="T59" s="239">
        <f>S59/O59</f>
        <v>1.00256804168714</v>
      </c>
    </row>
    <row r="60" ht="18" spans="1:20">
      <c r="C60" s="233"/>
      <c r="D60" s="233"/>
      <c r="E60" s="233"/>
      <c r="F60" s="233"/>
      <c r="G60" s="188"/>
      <c r="H60" s="237"/>
      <c r="I60" s="188"/>
      <c r="J60" s="192"/>
      <c r="K60" s="193"/>
      <c r="L60" s="238"/>
      <c r="M60" s="238"/>
      <c r="N60" s="236"/>
      <c r="O60" s="237"/>
      <c r="P60" s="188"/>
      <c r="Q60" s="238"/>
      <c r="R60" s="192"/>
      <c r="S60" s="237"/>
      <c r="T60" s="239"/>
    </row>
    <row r="61" spans="1:20">
      <c r="C61" s="212" t="s">
        <v>89</v>
      </c>
      <c r="D61" s="212"/>
      <c r="E61" s="212"/>
      <c r="F61" s="212"/>
      <c r="G61" s="188"/>
      <c r="H61" s="200">
        <f>(H14+H390)*0.12</f>
        <v>34347.610619469</v>
      </c>
      <c r="I61" s="188"/>
      <c r="J61" s="212"/>
      <c r="K61" s="213"/>
      <c r="L61" s="240"/>
      <c r="M61" s="212"/>
      <c r="N61" s="188"/>
      <c r="O61" s="200">
        <v>16053</v>
      </c>
      <c r="P61" s="188"/>
      <c r="Q61" s="212"/>
      <c r="R61" s="212"/>
      <c r="S61" s="200"/>
      <c r="T61" s="200"/>
    </row>
    <row r="62" ht="21.75" spans="1:20">
      <c r="C62" s="161" t="s">
        <v>90</v>
      </c>
      <c r="D62" s="161"/>
      <c r="E62" s="161"/>
      <c r="F62" s="161"/>
      <c r="G62" s="236"/>
      <c r="H62" s="255">
        <f>H15-H59-H61</f>
        <v>888617.013274336</v>
      </c>
      <c r="I62" s="236"/>
      <c r="J62" s="164"/>
      <c r="K62" s="242"/>
      <c r="L62" s="243"/>
      <c r="M62" s="161"/>
      <c r="N62" s="236"/>
      <c r="O62" s="255">
        <f>O15-O59-O61</f>
        <v>419115.52</v>
      </c>
      <c r="P62" s="236"/>
      <c r="Q62" s="164"/>
      <c r="R62" s="164"/>
      <c r="S62" s="241">
        <f>H62-O62</f>
        <v>469501.493274336</v>
      </c>
      <c r="T62" s="235">
        <f>S62/O62</f>
        <v>1.12021977442958</v>
      </c>
    </row>
    <row r="63" ht="21.6" customHeight="1" spans="1:20">
      <c r="C63" s="238" t="s">
        <v>31</v>
      </c>
      <c r="D63" s="238"/>
      <c r="E63" s="238"/>
      <c r="F63" s="238"/>
      <c r="G63" s="236"/>
      <c r="H63" s="244">
        <f>H62/H15</f>
        <v>0.403592040582997</v>
      </c>
      <c r="I63" s="236"/>
      <c r="J63" s="238"/>
      <c r="K63" s="245"/>
      <c r="L63" s="246"/>
      <c r="M63" s="238"/>
      <c r="N63" s="236"/>
      <c r="O63" s="244">
        <f>O62/O15</f>
        <v>0.390328242254497</v>
      </c>
      <c r="P63" s="236"/>
      <c r="Q63" s="238"/>
      <c r="R63" s="238"/>
      <c r="S63" s="247"/>
      <c r="T63" s="248"/>
    </row>
    <row r="64" spans="1:20">
      <c r="G64" s="188"/>
      <c r="I64" s="188"/>
      <c r="K64" s="201"/>
      <c r="L64" s="202"/>
      <c r="N64" s="188"/>
      <c r="P64" s="188"/>
    </row>
  </sheetData>
  <mergeCells count="3">
    <mergeCell ref="E5:J5"/>
    <mergeCell ref="L5:Q5"/>
    <mergeCell ref="S5:T5"/>
  </mergeCells>
  <printOptions horizontalCentered="1"/>
  <pageMargins left="0.708661417322835" right="0.708661417322835" top="0.196850393700787" bottom="0.196850393700787" header="0.31496062992126" footer="0.31496062992126"/>
  <pageSetup paperSize="9" scale="53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66"/>
  <sheetViews>
    <sheetView view="pageBreakPreview" zoomScale="70" zoomScaleNormal="70" workbookViewId="0">
      <pane ySplit="5" topLeftCell="A24" activePane="bottomLeft" state="frozen"/>
      <selection/>
      <selection pane="bottomLeft" activeCell="I33" sqref="I33"/>
    </sheetView>
  </sheetViews>
  <sheetFormatPr defaultColWidth="10.6296296296296" defaultRowHeight="15.6"/>
  <cols>
    <col min="1" max="1" width="6.62962962962963" style="155" customWidth="1"/>
    <col min="2" max="2" width="1" style="155" customWidth="1"/>
    <col min="3" max="3" width="32.3796296296296" style="155" customWidth="1"/>
    <col min="4" max="4" width="4.12962962962963" style="155" customWidth="1"/>
    <col min="5" max="5" width="17" style="155" customWidth="1"/>
    <col min="6" max="6" width="10.6296296296296" style="155" customWidth="1"/>
    <col min="7" max="7" width="12.25" style="155" customWidth="1"/>
    <col min="8" max="8" width="16.1296296296296" style="155" customWidth="1"/>
    <col min="9" max="9" width="12.3796296296296" style="155" customWidth="1"/>
    <col min="10" max="10" width="11" style="155" customWidth="1"/>
    <col min="11" max="11" width="1.37962962962963" style="155" customWidth="1"/>
    <col min="12" max="12" width="36.3796296296296" style="155" customWidth="1"/>
    <col min="13" max="13" width="18.3796296296296" style="155" customWidth="1"/>
    <col min="14" max="14" width="12.25" style="155" customWidth="1"/>
    <col min="15" max="15" width="14.3796296296296" style="155" customWidth="1"/>
    <col min="16" max="16" width="12.3796296296296" style="155" customWidth="1"/>
    <col min="17" max="17" width="11" style="155" customWidth="1"/>
    <col min="18" max="18" width="3.75" style="155" customWidth="1"/>
    <col min="19" max="19" width="13.8796296296296" style="155" customWidth="1"/>
    <col min="20" max="20" width="9.25" style="155" customWidth="1"/>
    <col min="21" max="16384" width="10.6296296296296" style="155"/>
  </cols>
  <sheetData>
    <row r="1" ht="21" spans="1:20">
      <c r="A1" s="156" t="s">
        <v>37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</row>
    <row r="2" ht="21" spans="1:20">
      <c r="A2" s="157" t="s">
        <v>38</v>
      </c>
    </row>
    <row r="4" s="154" customFormat="1" ht="21" spans="1:20">
      <c r="B4" s="156"/>
      <c r="C4" s="156"/>
      <c r="D4" s="156"/>
      <c r="E4" s="158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5"/>
      <c r="S4" s="155"/>
      <c r="T4" s="155"/>
    </row>
    <row r="5" ht="21" spans="1:20">
      <c r="A5" s="160">
        <v>1</v>
      </c>
      <c r="B5" s="161"/>
      <c r="C5" s="161" t="s">
        <v>4</v>
      </c>
      <c r="D5" s="161"/>
      <c r="E5" s="162" t="s">
        <v>39</v>
      </c>
      <c r="F5" s="162"/>
      <c r="G5" s="162"/>
      <c r="H5" s="162"/>
      <c r="I5" s="162"/>
      <c r="J5" s="162"/>
      <c r="K5" s="163"/>
      <c r="L5" s="162" t="s">
        <v>40</v>
      </c>
      <c r="M5" s="162"/>
      <c r="N5" s="162"/>
      <c r="O5" s="162"/>
      <c r="P5" s="162"/>
      <c r="Q5" s="162"/>
      <c r="R5" s="156"/>
      <c r="S5" s="162" t="s">
        <v>41</v>
      </c>
      <c r="T5" s="162"/>
    </row>
    <row r="6" ht="31.2" spans="1:20">
      <c r="C6" s="164" t="s">
        <v>6</v>
      </c>
      <c r="E6" s="155" t="s">
        <v>42</v>
      </c>
      <c r="F6" s="165" t="s">
        <v>43</v>
      </c>
      <c r="G6" s="166" t="s">
        <v>7</v>
      </c>
      <c r="H6" s="167" t="s">
        <v>44</v>
      </c>
      <c r="I6" s="168" t="s">
        <v>8</v>
      </c>
      <c r="J6" s="169" t="s">
        <v>45</v>
      </c>
      <c r="K6" s="170"/>
      <c r="L6" s="171" t="s">
        <v>42</v>
      </c>
      <c r="M6" s="165" t="s">
        <v>43</v>
      </c>
      <c r="N6" s="166" t="s">
        <v>7</v>
      </c>
      <c r="O6" s="167" t="s">
        <v>46</v>
      </c>
      <c r="P6" s="168" t="s">
        <v>8</v>
      </c>
      <c r="Q6" s="169" t="s">
        <v>45</v>
      </c>
      <c r="R6" s="172"/>
      <c r="S6" s="173" t="s">
        <v>47</v>
      </c>
      <c r="T6" s="173" t="s">
        <v>48</v>
      </c>
    </row>
    <row r="7" spans="1:20">
      <c r="C7" s="155" t="s">
        <v>49</v>
      </c>
      <c r="E7" s="155" t="s">
        <v>50</v>
      </c>
      <c r="F7" s="174">
        <v>688</v>
      </c>
      <c r="G7" s="175">
        <v>2000</v>
      </c>
      <c r="H7" s="176">
        <f>G7*I7</f>
        <v>516000</v>
      </c>
      <c r="I7" s="177">
        <v>258</v>
      </c>
      <c r="J7" s="178">
        <f>I7/F7</f>
        <v>0.375</v>
      </c>
      <c r="K7" s="179"/>
      <c r="L7" s="180" t="s">
        <v>51</v>
      </c>
      <c r="M7" s="174">
        <v>598</v>
      </c>
      <c r="N7" s="175">
        <v>1508</v>
      </c>
      <c r="O7" s="176">
        <f>234548.56*1.13</f>
        <v>265039.8728</v>
      </c>
      <c r="P7" s="177">
        <f>O7/N7</f>
        <v>175.755883819629</v>
      </c>
      <c r="Q7" s="178">
        <f>P7/M7</f>
        <v>0.293906160233493</v>
      </c>
      <c r="R7" s="178"/>
      <c r="S7" s="181">
        <f>H7-O7</f>
        <v>250960.1272</v>
      </c>
      <c r="T7" s="182">
        <f>S7/O7</f>
        <v>0.946876877613715</v>
      </c>
    </row>
    <row r="8" spans="1:20">
      <c r="C8" s="155" t="s">
        <v>52</v>
      </c>
      <c r="E8" s="155" t="s">
        <v>53</v>
      </c>
      <c r="F8" s="174">
        <v>478</v>
      </c>
      <c r="G8" s="175">
        <v>4000</v>
      </c>
      <c r="H8" s="176">
        <f t="shared" ref="H8:H11" si="0">G8*I8</f>
        <v>576000</v>
      </c>
      <c r="I8" s="177">
        <v>144</v>
      </c>
      <c r="J8" s="178">
        <f>I8/F8</f>
        <v>0.301255230125523</v>
      </c>
      <c r="K8" s="179"/>
      <c r="L8" s="180" t="s">
        <v>54</v>
      </c>
      <c r="M8" s="174">
        <v>398</v>
      </c>
      <c r="N8" s="175">
        <v>3226</v>
      </c>
      <c r="O8" s="176">
        <f>309273.72*1.13</f>
        <v>349479.3036</v>
      </c>
      <c r="P8" s="177">
        <f t="shared" ref="P8:P10" si="1">O8/N8</f>
        <v>108.332084190949</v>
      </c>
      <c r="Q8" s="178">
        <f>P8/M8</f>
        <v>0.272191166308916</v>
      </c>
      <c r="R8" s="178"/>
      <c r="S8" s="181">
        <f>H8-O8</f>
        <v>226520.6964</v>
      </c>
      <c r="T8" s="182">
        <f>S8/O8</f>
        <v>0.648166269265738</v>
      </c>
    </row>
    <row r="9" hidden="1" spans="1:20">
      <c r="C9" s="155" t="s">
        <v>11</v>
      </c>
      <c r="F9" s="174"/>
      <c r="G9" s="175"/>
      <c r="H9" s="176">
        <f t="shared" si="0"/>
        <v>0</v>
      </c>
      <c r="I9" s="177"/>
      <c r="J9" s="178"/>
      <c r="K9" s="179"/>
      <c r="L9" s="180"/>
      <c r="M9" s="174"/>
      <c r="N9" s="175"/>
      <c r="O9" s="176"/>
      <c r="P9" s="177"/>
      <c r="Q9" s="178"/>
      <c r="R9" s="178"/>
      <c r="S9" s="181">
        <f t="shared" ref="S9:S10" si="2">H9-O9</f>
        <v>0</v>
      </c>
      <c r="T9" s="182" t="e">
        <f t="shared" ref="T9:T10" si="3">S9/O9</f>
        <v>#DIV/0!</v>
      </c>
    </row>
    <row r="10" spans="1:20">
      <c r="C10" s="155" t="s">
        <v>55</v>
      </c>
      <c r="E10" s="155" t="s">
        <v>56</v>
      </c>
      <c r="F10" s="174">
        <v>298</v>
      </c>
      <c r="G10" s="175">
        <v>10000</v>
      </c>
      <c r="H10" s="176">
        <f t="shared" si="0"/>
        <v>820000</v>
      </c>
      <c r="I10" s="177">
        <v>82</v>
      </c>
      <c r="J10" s="178">
        <f>I10/F10</f>
        <v>0.275167785234899</v>
      </c>
      <c r="K10" s="179"/>
      <c r="L10" s="180" t="s">
        <v>56</v>
      </c>
      <c r="M10" s="174">
        <v>298</v>
      </c>
      <c r="N10" s="175">
        <v>7094</v>
      </c>
      <c r="O10" s="176">
        <f>529929.18*1.13</f>
        <v>598819.9734</v>
      </c>
      <c r="P10" s="177">
        <f t="shared" si="1"/>
        <v>84.4121755568086</v>
      </c>
      <c r="Q10" s="178">
        <f>P10/M10</f>
        <v>0.28326233408325</v>
      </c>
      <c r="R10" s="178"/>
      <c r="S10" s="181">
        <f t="shared" si="2"/>
        <v>221180.0266</v>
      </c>
      <c r="T10" s="182">
        <f t="shared" si="3"/>
        <v>0.369359801651533</v>
      </c>
    </row>
    <row r="11" spans="1:20">
      <c r="C11" s="155" t="s">
        <v>57</v>
      </c>
      <c r="E11" s="155" t="s">
        <v>56</v>
      </c>
      <c r="F11" s="174">
        <v>268</v>
      </c>
      <c r="G11" s="175">
        <v>9000</v>
      </c>
      <c r="H11" s="176">
        <f t="shared" si="0"/>
        <v>576000</v>
      </c>
      <c r="I11" s="177">
        <v>64</v>
      </c>
      <c r="J11" s="178">
        <f>I11/F11</f>
        <v>0.238805970149254</v>
      </c>
      <c r="K11" s="179"/>
      <c r="L11" s="180" t="s">
        <v>58</v>
      </c>
      <c r="M11" s="183">
        <v>268</v>
      </c>
      <c r="N11" s="184"/>
      <c r="O11" s="176">
        <v>0</v>
      </c>
      <c r="P11" s="177"/>
      <c r="Q11" s="178"/>
      <c r="R11" s="178"/>
      <c r="S11" s="176"/>
      <c r="T11" s="176"/>
    </row>
    <row r="12" spans="1:20">
      <c r="C12" s="249" t="s">
        <v>91</v>
      </c>
      <c r="D12" s="249"/>
      <c r="E12" s="249"/>
      <c r="F12" s="250"/>
      <c r="G12" s="251">
        <v>400</v>
      </c>
      <c r="H12" s="252">
        <v>0</v>
      </c>
      <c r="I12" s="177"/>
      <c r="J12" s="178"/>
      <c r="K12" s="179"/>
      <c r="L12" s="249" t="s">
        <v>91</v>
      </c>
      <c r="M12" s="253"/>
      <c r="N12" s="251">
        <v>839</v>
      </c>
      <c r="O12" s="252">
        <v>0</v>
      </c>
      <c r="P12" s="177"/>
      <c r="Q12" s="178"/>
      <c r="R12" s="178"/>
      <c r="S12" s="176"/>
      <c r="T12" s="176"/>
    </row>
    <row r="13" spans="1:20">
      <c r="F13" s="174"/>
      <c r="G13" s="175"/>
      <c r="H13" s="176"/>
      <c r="I13" s="177"/>
      <c r="J13" s="178"/>
      <c r="K13" s="179"/>
      <c r="L13" s="249" t="s">
        <v>92</v>
      </c>
      <c r="M13" s="253"/>
      <c r="N13" s="251">
        <v>429</v>
      </c>
      <c r="O13" s="252">
        <v>0</v>
      </c>
      <c r="P13" s="177"/>
      <c r="Q13" s="178"/>
      <c r="R13" s="178"/>
      <c r="S13" s="176"/>
      <c r="T13" s="176"/>
    </row>
    <row r="14" spans="1:20">
      <c r="C14" s="185"/>
      <c r="D14" s="185"/>
      <c r="E14" s="185"/>
      <c r="F14" s="185"/>
      <c r="G14" s="186">
        <f>SUM(G7:G13)</f>
        <v>25400</v>
      </c>
      <c r="H14" s="187"/>
      <c r="I14" s="188"/>
      <c r="J14" s="185"/>
      <c r="K14" s="189"/>
      <c r="L14" s="190"/>
      <c r="M14" s="185"/>
      <c r="N14" s="186">
        <f>SUM(N7:N13)</f>
        <v>13096</v>
      </c>
      <c r="O14" s="187"/>
      <c r="P14" s="188"/>
      <c r="Q14" s="185"/>
      <c r="R14" s="185"/>
      <c r="S14" s="181">
        <f>G14-N14</f>
        <v>12304</v>
      </c>
      <c r="T14" s="182">
        <f>S14/N14</f>
        <v>0.939523518631643</v>
      </c>
    </row>
    <row r="15" ht="18" spans="1:20">
      <c r="C15" s="164" t="s">
        <v>13</v>
      </c>
      <c r="D15" s="164"/>
      <c r="E15" s="164"/>
      <c r="F15" s="164"/>
      <c r="G15" s="175"/>
      <c r="H15" s="191">
        <f>SUM(H7:H14)</f>
        <v>2488000</v>
      </c>
      <c r="I15" s="188"/>
      <c r="J15" s="192"/>
      <c r="K15" s="193"/>
      <c r="L15" s="194"/>
      <c r="M15" s="164"/>
      <c r="N15" s="175"/>
      <c r="O15" s="191">
        <f>SUM(O7:O14)</f>
        <v>1213339.1498</v>
      </c>
      <c r="P15" s="188"/>
      <c r="Q15" s="192"/>
      <c r="R15" s="192"/>
      <c r="S15" s="191"/>
      <c r="T15" s="191"/>
    </row>
    <row r="16" ht="18" spans="1:20">
      <c r="A16" s="155" t="s">
        <v>14</v>
      </c>
      <c r="C16" s="164" t="s">
        <v>59</v>
      </c>
      <c r="D16" s="164"/>
      <c r="E16" s="164"/>
      <c r="F16" s="164"/>
      <c r="G16" s="188"/>
      <c r="H16" s="195">
        <f>H15/1.13*0.13</f>
        <v>286230.088495575</v>
      </c>
      <c r="I16" s="188"/>
      <c r="J16" s="192"/>
      <c r="K16" s="193"/>
      <c r="L16" s="194"/>
      <c r="M16" s="164"/>
      <c r="N16" s="188"/>
      <c r="O16" s="196">
        <f>O15/1.13*0.13</f>
        <v>139587.6898</v>
      </c>
      <c r="P16" s="188"/>
      <c r="Q16" s="192"/>
      <c r="R16" s="192"/>
      <c r="S16" s="195"/>
      <c r="T16" s="195"/>
    </row>
    <row r="17" ht="18" spans="1:20">
      <c r="C17" s="164" t="s">
        <v>60</v>
      </c>
      <c r="D17" s="164"/>
      <c r="E17" s="164"/>
      <c r="F17" s="164"/>
      <c r="G17" s="188"/>
      <c r="H17" s="197">
        <f>H15-H16+0.5</f>
        <v>2201770.41150442</v>
      </c>
      <c r="I17" s="188"/>
      <c r="J17" s="198"/>
      <c r="K17" s="193"/>
      <c r="L17" s="194"/>
      <c r="M17" s="164"/>
      <c r="N17" s="188"/>
      <c r="O17" s="197">
        <f>O15-O16</f>
        <v>1073751.46</v>
      </c>
      <c r="P17" s="188"/>
      <c r="Q17" s="192"/>
      <c r="R17" s="192"/>
      <c r="S17" s="197">
        <f>H17-O17</f>
        <v>1128018.95150442</v>
      </c>
      <c r="T17" s="199">
        <f>S17/O17</f>
        <v>1.05054008634775</v>
      </c>
    </row>
    <row r="18" spans="1:20">
      <c r="C18" s="192"/>
      <c r="D18" s="192"/>
      <c r="E18" s="192"/>
      <c r="F18" s="192"/>
      <c r="G18" s="188"/>
      <c r="H18" s="191"/>
      <c r="I18" s="188"/>
      <c r="J18" s="192"/>
      <c r="K18" s="193"/>
      <c r="L18" s="194"/>
      <c r="M18" s="192"/>
      <c r="N18" s="188"/>
      <c r="O18" s="191"/>
      <c r="P18" s="188"/>
      <c r="Q18" s="192"/>
      <c r="R18" s="192"/>
      <c r="S18" s="191"/>
      <c r="T18" s="191"/>
    </row>
    <row r="19" spans="1:20">
      <c r="G19" s="188"/>
      <c r="H19" s="200"/>
      <c r="I19" s="188"/>
      <c r="K19" s="201"/>
      <c r="L19" s="202"/>
      <c r="N19" s="188"/>
      <c r="O19" s="200"/>
      <c r="P19" s="188"/>
      <c r="S19" s="200"/>
      <c r="T19" s="200"/>
    </row>
    <row r="20" ht="21" spans="1:20">
      <c r="A20" s="160">
        <v>2</v>
      </c>
      <c r="B20" s="161"/>
      <c r="C20" s="161" t="s">
        <v>61</v>
      </c>
      <c r="D20" s="161"/>
      <c r="E20" s="161"/>
      <c r="F20" s="161"/>
      <c r="G20" s="203"/>
      <c r="H20" s="176"/>
      <c r="I20" s="203"/>
      <c r="J20" s="204"/>
      <c r="K20" s="205"/>
      <c r="L20" s="161"/>
      <c r="M20" s="161"/>
      <c r="N20" s="203"/>
      <c r="O20" s="176"/>
      <c r="P20" s="203"/>
      <c r="Q20" s="204"/>
      <c r="R20" s="204"/>
      <c r="S20" s="176"/>
      <c r="T20" s="176"/>
    </row>
    <row r="21" ht="18" spans="1:20">
      <c r="C21" s="164" t="s">
        <v>62</v>
      </c>
      <c r="D21" s="164"/>
      <c r="E21" s="164"/>
      <c r="F21" s="164"/>
      <c r="G21" s="166" t="s">
        <v>7</v>
      </c>
      <c r="H21" s="176"/>
      <c r="I21" s="166" t="s">
        <v>63</v>
      </c>
      <c r="J21" s="206"/>
      <c r="K21" s="207"/>
      <c r="L21" s="164"/>
      <c r="M21" s="164"/>
      <c r="N21" s="166" t="s">
        <v>7</v>
      </c>
      <c r="O21" s="176"/>
      <c r="P21" s="166" t="s">
        <v>63</v>
      </c>
      <c r="Q21" s="206"/>
      <c r="R21" s="206"/>
      <c r="S21" s="176"/>
      <c r="T21" s="176"/>
    </row>
    <row r="22" ht="18" spans="1:20">
      <c r="A22" s="188" t="s">
        <v>64</v>
      </c>
      <c r="C22" s="192" t="s">
        <v>65</v>
      </c>
      <c r="D22" s="164"/>
      <c r="E22" s="164"/>
      <c r="F22" s="164"/>
      <c r="G22" s="166"/>
      <c r="H22" s="176"/>
      <c r="I22" s="166"/>
      <c r="J22" s="206"/>
      <c r="K22" s="207"/>
      <c r="L22" s="164"/>
      <c r="M22" s="164"/>
      <c r="N22" s="166"/>
      <c r="O22" s="176"/>
      <c r="P22" s="166"/>
      <c r="Q22" s="206"/>
      <c r="R22" s="206"/>
      <c r="S22" s="176"/>
      <c r="T22" s="176"/>
    </row>
    <row r="23" spans="1:20">
      <c r="C23" s="155" t="s">
        <v>66</v>
      </c>
      <c r="E23" s="155" t="s">
        <v>51</v>
      </c>
      <c r="G23" s="175">
        <f>G7</f>
        <v>2000</v>
      </c>
      <c r="H23" s="176">
        <f>G23*I23</f>
        <v>84591.8</v>
      </c>
      <c r="I23" s="177">
        <f>37.43*1.13</f>
        <v>42.2959</v>
      </c>
      <c r="K23" s="201"/>
      <c r="L23" s="155" t="s">
        <v>51</v>
      </c>
      <c r="N23" s="175">
        <v>1500</v>
      </c>
      <c r="O23" s="176">
        <f>N23*P23</f>
        <v>44764.95</v>
      </c>
      <c r="P23" s="177">
        <f>26.41*1.13</f>
        <v>29.8433</v>
      </c>
      <c r="S23" s="176">
        <f>H23-O23</f>
        <v>39826.85</v>
      </c>
      <c r="T23" s="208">
        <f>S23/O23</f>
        <v>0.88968824940048</v>
      </c>
    </row>
    <row r="24" spans="1:20">
      <c r="C24" s="155" t="s">
        <v>67</v>
      </c>
      <c r="E24" s="155" t="s">
        <v>54</v>
      </c>
      <c r="G24" s="175">
        <f>G8</f>
        <v>4000</v>
      </c>
      <c r="H24" s="176">
        <f t="shared" ref="H24:H27" si="4">G24*I24</f>
        <v>126017.6</v>
      </c>
      <c r="I24" s="177">
        <f>27.88*1.13</f>
        <v>31.5044</v>
      </c>
      <c r="K24" s="201"/>
      <c r="L24" s="155" t="s">
        <v>54</v>
      </c>
      <c r="N24" s="175">
        <f>3300</f>
        <v>3300</v>
      </c>
      <c r="O24" s="176">
        <f>N24*P24</f>
        <v>79800.6</v>
      </c>
      <c r="P24" s="177">
        <f>21.4*1.13</f>
        <v>24.182</v>
      </c>
      <c r="S24" s="176">
        <f t="shared" ref="S24:S58" si="5">H24-O24</f>
        <v>46217</v>
      </c>
      <c r="T24" s="208">
        <f t="shared" ref="T24:T58" si="6">S24/O24</f>
        <v>0.579156046445766</v>
      </c>
    </row>
    <row r="25" hidden="1" spans="1:20">
      <c r="C25" s="155" t="s">
        <v>11</v>
      </c>
      <c r="G25" s="175">
        <v>0</v>
      </c>
      <c r="H25" s="176">
        <f t="shared" si="4"/>
        <v>0</v>
      </c>
      <c r="I25" s="177"/>
      <c r="K25" s="201"/>
      <c r="N25" s="175">
        <f t="shared" ref="N25" si="7">N9</f>
        <v>0</v>
      </c>
      <c r="O25" s="176">
        <f t="shared" ref="O25" si="8">N25*P25</f>
        <v>0</v>
      </c>
      <c r="P25" s="177"/>
      <c r="S25" s="176">
        <f t="shared" si="5"/>
        <v>0</v>
      </c>
      <c r="T25" s="208" t="e">
        <f t="shared" si="6"/>
        <v>#DIV/0!</v>
      </c>
    </row>
    <row r="26" spans="1:20">
      <c r="C26" s="155" t="s">
        <v>57</v>
      </c>
      <c r="E26" s="155" t="s">
        <v>56</v>
      </c>
      <c r="G26" s="175">
        <v>9400</v>
      </c>
      <c r="H26" s="176">
        <f t="shared" si="4"/>
        <v>207766.32</v>
      </c>
      <c r="I26" s="177">
        <f>19.56*1.13</f>
        <v>22.1028</v>
      </c>
      <c r="J26" s="177"/>
      <c r="K26" s="201"/>
      <c r="L26" s="155" t="s">
        <v>56</v>
      </c>
      <c r="N26" s="175">
        <f>18000+400</f>
        <v>18400</v>
      </c>
      <c r="O26" s="176">
        <f>(263692.2+5856)*1.13</f>
        <v>304589.466</v>
      </c>
      <c r="P26" s="177">
        <f>O26/N26</f>
        <v>16.553775326087</v>
      </c>
      <c r="S26" s="176">
        <f t="shared" si="5"/>
        <v>-96823.146</v>
      </c>
      <c r="T26" s="208">
        <f t="shared" si="6"/>
        <v>-0.317880809443358</v>
      </c>
    </row>
    <row r="27" spans="1:20">
      <c r="C27" s="155" t="s">
        <v>68</v>
      </c>
      <c r="E27" s="155" t="s">
        <v>56</v>
      </c>
      <c r="G27" s="175">
        <v>10000</v>
      </c>
      <c r="H27" s="176">
        <f t="shared" si="4"/>
        <v>244984</v>
      </c>
      <c r="I27" s="177">
        <f>21.68*1.13</f>
        <v>24.4984</v>
      </c>
      <c r="J27" s="177"/>
      <c r="K27" s="201"/>
      <c r="N27" s="175"/>
      <c r="O27" s="176"/>
      <c r="P27" s="177"/>
      <c r="S27" s="176"/>
      <c r="T27" s="208"/>
    </row>
    <row r="28" spans="1:20">
      <c r="G28" s="175"/>
      <c r="H28" s="176"/>
      <c r="I28" s="177"/>
      <c r="K28" s="201"/>
      <c r="N28" s="175"/>
      <c r="O28" s="176"/>
      <c r="P28" s="177"/>
      <c r="S28" s="176"/>
      <c r="T28" s="208"/>
    </row>
    <row r="29" spans="1:20">
      <c r="A29" s="188" t="s">
        <v>69</v>
      </c>
      <c r="C29" s="192" t="s">
        <v>7</v>
      </c>
      <c r="G29" s="175"/>
      <c r="H29" s="176"/>
      <c r="I29" s="177"/>
      <c r="K29" s="201"/>
      <c r="N29" s="175"/>
      <c r="O29" s="176"/>
      <c r="P29" s="177"/>
      <c r="S29" s="176"/>
      <c r="T29" s="208"/>
    </row>
    <row r="30" spans="1:20">
      <c r="C30" s="155" t="s">
        <v>66</v>
      </c>
      <c r="E30" s="155" t="s">
        <v>51</v>
      </c>
      <c r="G30" s="175">
        <f>G7</f>
        <v>2000</v>
      </c>
      <c r="H30" s="176">
        <f>G30*I30</f>
        <v>65607.8</v>
      </c>
      <c r="I30" s="177">
        <f>29.03*1.13</f>
        <v>32.8039</v>
      </c>
      <c r="K30" s="201"/>
      <c r="L30" s="155" t="s">
        <v>51</v>
      </c>
      <c r="N30" s="175">
        <f>1474</f>
        <v>1474</v>
      </c>
      <c r="O30" s="176">
        <f>N30*P30</f>
        <v>53799.526</v>
      </c>
      <c r="P30" s="177">
        <f>32.3*1.13</f>
        <v>36.499</v>
      </c>
      <c r="S30" s="176">
        <f t="shared" si="5"/>
        <v>11808.274</v>
      </c>
      <c r="T30" s="208">
        <f t="shared" si="6"/>
        <v>0.219486580606677</v>
      </c>
    </row>
    <row r="31" spans="1:20">
      <c r="C31" s="155" t="s">
        <v>67</v>
      </c>
      <c r="E31" s="155" t="s">
        <v>54</v>
      </c>
      <c r="G31" s="175">
        <f>G8</f>
        <v>4000</v>
      </c>
      <c r="H31" s="176">
        <f t="shared" ref="H31:H34" si="9">G31*I31</f>
        <v>107214.4</v>
      </c>
      <c r="I31" s="177">
        <f>23.72*1.13</f>
        <v>26.8036</v>
      </c>
      <c r="K31" s="201"/>
      <c r="L31" s="155" t="s">
        <v>54</v>
      </c>
      <c r="N31" s="175">
        <f>3180+22</f>
        <v>3202</v>
      </c>
      <c r="O31" s="176">
        <f t="shared" ref="O31:O32" si="10">N31*P31</f>
        <v>75259.808</v>
      </c>
      <c r="P31" s="177">
        <f>20.8*1.13</f>
        <v>23.504</v>
      </c>
      <c r="S31" s="176">
        <f t="shared" si="5"/>
        <v>31954.592</v>
      </c>
      <c r="T31" s="208">
        <f t="shared" si="6"/>
        <v>0.424590400230625</v>
      </c>
    </row>
    <row r="32" hidden="1" spans="1:20">
      <c r="C32" s="155" t="s">
        <v>11</v>
      </c>
      <c r="G32" s="175">
        <v>0</v>
      </c>
      <c r="H32" s="176">
        <f t="shared" si="9"/>
        <v>0</v>
      </c>
      <c r="I32" s="177"/>
      <c r="K32" s="201"/>
      <c r="N32" s="175">
        <v>0</v>
      </c>
      <c r="O32" s="176">
        <f t="shared" si="10"/>
        <v>0</v>
      </c>
      <c r="P32" s="177"/>
      <c r="S32" s="176">
        <f t="shared" si="5"/>
        <v>0</v>
      </c>
      <c r="T32" s="208" t="e">
        <f t="shared" si="6"/>
        <v>#DIV/0!</v>
      </c>
    </row>
    <row r="33" spans="1:20">
      <c r="C33" s="155" t="s">
        <v>57</v>
      </c>
      <c r="E33" s="155" t="s">
        <v>56</v>
      </c>
      <c r="G33" s="175">
        <v>9400</v>
      </c>
      <c r="H33" s="176">
        <f t="shared" si="9"/>
        <v>155100</v>
      </c>
      <c r="I33" s="177">
        <v>16.5</v>
      </c>
      <c r="J33" s="177"/>
      <c r="K33" s="201"/>
      <c r="L33" s="155" t="s">
        <v>56</v>
      </c>
      <c r="N33" s="175">
        <f>7024+1246</f>
        <v>8270</v>
      </c>
      <c r="O33" s="176">
        <f>(102550.4+14147.4+4044.2+24)*1.13</f>
        <v>136465.58</v>
      </c>
      <c r="P33" s="177">
        <f>O33/N33</f>
        <v>16.5012793228537</v>
      </c>
      <c r="S33" s="176">
        <f t="shared" si="5"/>
        <v>18634.42</v>
      </c>
      <c r="T33" s="208">
        <f t="shared" si="6"/>
        <v>0.136550330127202</v>
      </c>
    </row>
    <row r="34" spans="1:20">
      <c r="C34" s="155" t="s">
        <v>68</v>
      </c>
      <c r="E34" s="155" t="s">
        <v>56</v>
      </c>
      <c r="G34" s="251">
        <v>10400</v>
      </c>
      <c r="H34" s="176">
        <f t="shared" si="9"/>
        <v>197551.12</v>
      </c>
      <c r="I34" s="177">
        <f>16.81*1.13</f>
        <v>18.9953</v>
      </c>
      <c r="J34" s="177"/>
      <c r="K34" s="201"/>
      <c r="L34" s="249" t="s">
        <v>93</v>
      </c>
      <c r="M34" s="249"/>
      <c r="N34" s="251">
        <v>704</v>
      </c>
      <c r="O34" s="252" t="s">
        <v>94</v>
      </c>
      <c r="P34" s="254" t="e">
        <f t="shared" ref="P34:P35" si="11">O34/N34</f>
        <v>#VALUE!</v>
      </c>
      <c r="S34" s="176"/>
      <c r="T34" s="208"/>
    </row>
    <row r="35" spans="1:20">
      <c r="G35" s="175"/>
      <c r="H35" s="176"/>
      <c r="I35" s="177"/>
      <c r="K35" s="201"/>
      <c r="L35" s="249" t="s">
        <v>95</v>
      </c>
      <c r="M35" s="249"/>
      <c r="N35" s="251">
        <v>150</v>
      </c>
      <c r="O35" s="252" t="s">
        <v>94</v>
      </c>
      <c r="P35" s="254" t="e">
        <f t="shared" si="11"/>
        <v>#VALUE!</v>
      </c>
      <c r="S35" s="176"/>
      <c r="T35" s="208"/>
    </row>
    <row r="36" spans="1:20">
      <c r="A36" s="188" t="s">
        <v>69</v>
      </c>
      <c r="C36" s="192" t="s">
        <v>70</v>
      </c>
      <c r="G36" s="175"/>
      <c r="H36" s="176"/>
      <c r="I36" s="177"/>
      <c r="K36" s="201"/>
      <c r="L36" s="249" t="s">
        <v>96</v>
      </c>
      <c r="M36" s="249"/>
      <c r="N36" s="251">
        <v>9400</v>
      </c>
      <c r="O36" s="252">
        <v>0</v>
      </c>
      <c r="P36" s="249"/>
      <c r="R36" s="175"/>
      <c r="S36" s="176"/>
      <c r="T36" s="208"/>
    </row>
    <row r="37" spans="1:20">
      <c r="C37" s="155" t="s">
        <v>71</v>
      </c>
      <c r="E37" s="155" t="s">
        <v>72</v>
      </c>
      <c r="G37" s="175">
        <v>4000</v>
      </c>
      <c r="H37" s="176">
        <f>G37*I37</f>
        <v>96040</v>
      </c>
      <c r="I37" s="177">
        <v>24.01</v>
      </c>
      <c r="K37" s="201"/>
      <c r="L37" s="155" t="s">
        <v>72</v>
      </c>
      <c r="N37" s="175">
        <v>0</v>
      </c>
      <c r="O37" s="176">
        <v>0</v>
      </c>
      <c r="P37" s="177">
        <v>0</v>
      </c>
      <c r="R37" s="175"/>
      <c r="S37" s="176"/>
      <c r="T37" s="208"/>
    </row>
    <row r="38" spans="1:20">
      <c r="C38" s="155" t="s">
        <v>73</v>
      </c>
      <c r="E38" s="155" t="s">
        <v>74</v>
      </c>
      <c r="G38" s="175">
        <v>2000</v>
      </c>
      <c r="H38" s="176">
        <f>G38*I38</f>
        <v>74160</v>
      </c>
      <c r="I38" s="177">
        <v>37.08</v>
      </c>
      <c r="K38" s="201"/>
      <c r="L38" s="155" t="s">
        <v>74</v>
      </c>
      <c r="N38" s="175">
        <v>0</v>
      </c>
      <c r="O38" s="176">
        <v>0</v>
      </c>
      <c r="P38" s="177">
        <v>0</v>
      </c>
      <c r="R38" s="175"/>
      <c r="S38" s="176"/>
      <c r="T38" s="208"/>
    </row>
    <row r="39" spans="1:20">
      <c r="G39" s="175"/>
      <c r="H39" s="176"/>
      <c r="I39" s="177"/>
      <c r="K39" s="201"/>
      <c r="N39" s="175"/>
      <c r="O39" s="176"/>
      <c r="P39" s="177"/>
      <c r="R39" s="175"/>
      <c r="S39" s="176"/>
      <c r="T39" s="208"/>
    </row>
    <row r="40" ht="15.75" customHeight="1" spans="1:20">
      <c r="C40" s="209" t="s">
        <v>20</v>
      </c>
      <c r="D40" s="209"/>
      <c r="E40" s="209"/>
      <c r="F40" s="209"/>
      <c r="G40" s="210">
        <f>SUM(G23:G27)</f>
        <v>25400</v>
      </c>
      <c r="H40" s="211">
        <f>SUM(H23:H38)</f>
        <v>1359033.04</v>
      </c>
      <c r="I40" s="188"/>
      <c r="J40" s="212"/>
      <c r="K40" s="213"/>
      <c r="L40" s="164"/>
      <c r="M40" s="164"/>
      <c r="N40" s="210">
        <f>SUM(N23:N26)</f>
        <v>23200</v>
      </c>
      <c r="O40" s="211">
        <f>SUM(O23:O39)</f>
        <v>694679.93</v>
      </c>
      <c r="P40" s="188"/>
      <c r="Q40" s="214"/>
      <c r="R40" s="212"/>
      <c r="S40" s="176">
        <f t="shared" si="5"/>
        <v>664353.11</v>
      </c>
      <c r="T40" s="208">
        <f t="shared" si="6"/>
        <v>0.95634418285267</v>
      </c>
    </row>
    <row r="41" ht="19.5" customHeight="1" spans="1:20">
      <c r="A41" s="155" t="s">
        <v>14</v>
      </c>
      <c r="C41" s="161" t="s">
        <v>75</v>
      </c>
      <c r="D41" s="161"/>
      <c r="E41" s="161"/>
      <c r="F41" s="161"/>
      <c r="G41" s="215"/>
      <c r="H41" s="191">
        <f>SUM(H23:H34)/1.13*0.13+H37/1.13*0.13+H38/1.03*0.03</f>
        <v>149977.252389381</v>
      </c>
      <c r="I41" s="188"/>
      <c r="J41" s="212"/>
      <c r="K41" s="213"/>
      <c r="N41" s="215"/>
      <c r="O41" s="191">
        <f>O40/1.13*0.13</f>
        <v>79918.93</v>
      </c>
      <c r="P41" s="188"/>
      <c r="Q41" s="216"/>
      <c r="R41" s="212"/>
      <c r="S41" s="176">
        <f t="shared" si="5"/>
        <v>70058.3223893805</v>
      </c>
      <c r="T41" s="208">
        <f t="shared" si="6"/>
        <v>0.876617371996604</v>
      </c>
    </row>
    <row r="42" hidden="1" spans="1:20">
      <c r="C42" s="192" t="s">
        <v>76</v>
      </c>
      <c r="D42" s="192"/>
      <c r="E42" s="192"/>
      <c r="F42" s="192"/>
      <c r="G42" s="188"/>
      <c r="H42" s="217"/>
      <c r="I42" s="218">
        <f>-H42/H17</f>
        <v>0</v>
      </c>
      <c r="J42" s="216"/>
      <c r="K42" s="219"/>
      <c r="L42" s="220"/>
      <c r="M42" s="220"/>
      <c r="N42" s="188"/>
      <c r="O42" s="217"/>
      <c r="P42" s="221"/>
      <c r="Q42" s="220"/>
      <c r="R42" s="216"/>
      <c r="S42" s="176">
        <f t="shared" si="5"/>
        <v>0</v>
      </c>
      <c r="T42" s="208" t="e">
        <f t="shared" si="6"/>
        <v>#DIV/0!</v>
      </c>
    </row>
    <row r="43" spans="1:20">
      <c r="C43" s="155" t="s">
        <v>76</v>
      </c>
      <c r="G43" s="188"/>
      <c r="H43" s="191">
        <f>H52+H56</f>
        <v>23000</v>
      </c>
      <c r="I43" s="188"/>
      <c r="J43" s="216"/>
      <c r="K43" s="219"/>
      <c r="L43" s="212"/>
      <c r="M43" s="212"/>
      <c r="N43" s="188"/>
      <c r="O43" s="191">
        <f>42.2*22+1073*29.24+173*29.24</f>
        <v>37361.44</v>
      </c>
      <c r="P43" s="188"/>
      <c r="Q43" s="212"/>
      <c r="R43" s="216"/>
      <c r="S43" s="176"/>
      <c r="T43" s="208"/>
    </row>
    <row r="44" ht="21" spans="1:20">
      <c r="C44" s="164" t="s">
        <v>77</v>
      </c>
      <c r="D44" s="164"/>
      <c r="E44" s="164"/>
      <c r="F44" s="164"/>
      <c r="G44" s="188"/>
      <c r="H44" s="223">
        <f>H40-H41-H43</f>
        <v>1186055.78761062</v>
      </c>
      <c r="I44" s="188"/>
      <c r="J44" s="214"/>
      <c r="K44" s="219"/>
      <c r="L44" s="161"/>
      <c r="M44" s="161"/>
      <c r="N44" s="188"/>
      <c r="O44" s="223">
        <f>O40-O41-O43</f>
        <v>577399.56</v>
      </c>
      <c r="P44" s="188"/>
      <c r="Q44" s="224"/>
      <c r="R44" s="216"/>
      <c r="S44" s="176">
        <f t="shared" si="5"/>
        <v>608656.227610619</v>
      </c>
      <c r="T44" s="208">
        <f t="shared" si="6"/>
        <v>1.05413351477202</v>
      </c>
    </row>
    <row r="45" spans="1:20">
      <c r="G45" s="188"/>
      <c r="H45" s="200"/>
      <c r="I45" s="188"/>
      <c r="J45" s="216"/>
      <c r="K45" s="219"/>
      <c r="L45" s="212"/>
      <c r="M45" s="212"/>
      <c r="N45" s="188"/>
      <c r="O45" s="225"/>
      <c r="P45" s="226"/>
      <c r="Q45" s="212"/>
      <c r="R45" s="216"/>
      <c r="S45" s="176"/>
      <c r="T45" s="208"/>
    </row>
    <row r="46" spans="1:20">
      <c r="A46" s="227"/>
      <c r="B46" s="227"/>
      <c r="C46" s="220"/>
      <c r="D46" s="220"/>
      <c r="E46" s="220"/>
      <c r="F46" s="220"/>
      <c r="G46" s="221"/>
      <c r="H46" s="228"/>
      <c r="I46" s="221"/>
      <c r="J46" s="220"/>
      <c r="K46" s="229"/>
      <c r="L46" s="212"/>
      <c r="M46" s="212"/>
      <c r="N46" s="188"/>
      <c r="O46" s="225"/>
      <c r="P46" s="226"/>
      <c r="Q46" s="212"/>
      <c r="R46" s="220"/>
      <c r="S46" s="176"/>
      <c r="T46" s="208"/>
    </row>
    <row r="47" spans="1:20">
      <c r="C47" s="212"/>
      <c r="D47" s="212"/>
      <c r="E47" s="212"/>
      <c r="F47" s="212"/>
      <c r="G47" s="188"/>
      <c r="H47" s="200"/>
      <c r="I47" s="188"/>
      <c r="J47" s="212"/>
      <c r="K47" s="213"/>
      <c r="L47" s="212"/>
      <c r="M47" s="212"/>
      <c r="N47" s="188"/>
      <c r="O47" s="225"/>
      <c r="P47" s="226"/>
      <c r="Q47" s="212"/>
      <c r="R47" s="212"/>
      <c r="S47" s="176"/>
      <c r="T47" s="208"/>
    </row>
    <row r="48" ht="21" spans="1:20">
      <c r="A48" s="160">
        <v>3</v>
      </c>
      <c r="B48" s="161"/>
      <c r="C48" s="161" t="s">
        <v>24</v>
      </c>
      <c r="D48" s="161"/>
      <c r="E48" s="161"/>
      <c r="F48" s="161"/>
      <c r="G48" s="188"/>
      <c r="H48" s="200"/>
      <c r="I48" s="188"/>
      <c r="J48" s="224"/>
      <c r="K48" s="230"/>
      <c r="L48" s="212"/>
      <c r="M48" s="212"/>
      <c r="N48" s="188"/>
      <c r="O48" s="225"/>
      <c r="P48" s="226"/>
      <c r="Q48" s="212"/>
      <c r="R48" s="224"/>
      <c r="S48" s="176"/>
      <c r="T48" s="208"/>
    </row>
    <row r="49" ht="21" spans="1:21">
      <c r="A49" s="231"/>
      <c r="C49" s="212" t="s">
        <v>78</v>
      </c>
      <c r="D49" s="212"/>
      <c r="E49" s="212"/>
      <c r="F49" s="212"/>
      <c r="G49" s="188"/>
      <c r="H49" s="225">
        <v>25000</v>
      </c>
      <c r="I49" s="226">
        <f>H49/$H$17</f>
        <v>0.0113544990292235</v>
      </c>
      <c r="J49" s="212"/>
      <c r="K49" s="213"/>
      <c r="L49" s="212"/>
      <c r="M49" s="212"/>
      <c r="N49" s="188"/>
      <c r="O49" s="225">
        <f>12848+2369</f>
        <v>15217</v>
      </c>
      <c r="P49" s="226">
        <f>O49/$O$17</f>
        <v>0.0141718084369357</v>
      </c>
      <c r="Q49" s="212"/>
      <c r="R49" s="212"/>
      <c r="S49" s="176">
        <f t="shared" si="5"/>
        <v>9783</v>
      </c>
      <c r="T49" s="208">
        <f t="shared" si="6"/>
        <v>0.642899388841427</v>
      </c>
      <c r="U49" s="232"/>
    </row>
    <row r="50" ht="21" spans="1:21">
      <c r="A50" s="231"/>
      <c r="C50" s="212" t="s">
        <v>79</v>
      </c>
      <c r="D50" s="212"/>
      <c r="E50" s="212"/>
      <c r="F50" s="212"/>
      <c r="G50" s="188"/>
      <c r="H50" s="225">
        <v>650</v>
      </c>
      <c r="I50" s="226">
        <f t="shared" ref="I50:I58" si="12">H50/$H$17</f>
        <v>0.000295216974759811</v>
      </c>
      <c r="J50" s="212"/>
      <c r="K50" s="213"/>
      <c r="L50" s="212"/>
      <c r="M50" s="212"/>
      <c r="N50" s="188"/>
      <c r="O50" s="225"/>
      <c r="P50" s="226"/>
      <c r="Q50" s="212"/>
      <c r="R50" s="212"/>
      <c r="S50" s="176">
        <f t="shared" si="5"/>
        <v>650</v>
      </c>
      <c r="T50" s="208"/>
    </row>
    <row r="51" ht="21" spans="1:21">
      <c r="A51" s="231"/>
      <c r="C51" s="212" t="s">
        <v>80</v>
      </c>
      <c r="D51" s="212"/>
      <c r="E51" s="212"/>
      <c r="F51" s="212"/>
      <c r="G51" s="188"/>
      <c r="H51" s="225">
        <v>3000</v>
      </c>
      <c r="I51" s="226">
        <f t="shared" si="12"/>
        <v>0.00136253988350682</v>
      </c>
      <c r="J51" s="212"/>
      <c r="K51" s="213"/>
      <c r="L51" s="212"/>
      <c r="M51" s="212"/>
      <c r="N51" s="188"/>
      <c r="O51" s="225">
        <v>2133</v>
      </c>
      <c r="P51" s="226">
        <f t="shared" ref="P51:P58" si="13">O51/$O$17</f>
        <v>0.00198649322441899</v>
      </c>
      <c r="Q51" s="212"/>
      <c r="R51" s="212"/>
      <c r="S51" s="176">
        <f t="shared" si="5"/>
        <v>867</v>
      </c>
      <c r="T51" s="208">
        <f t="shared" si="6"/>
        <v>0.406469760900141</v>
      </c>
    </row>
    <row r="52" ht="21" spans="1:21">
      <c r="A52" s="231"/>
      <c r="C52" s="212" t="s">
        <v>81</v>
      </c>
      <c r="D52" s="212"/>
      <c r="E52" s="212"/>
      <c r="F52" s="212"/>
      <c r="G52" s="188"/>
      <c r="H52" s="225">
        <v>17000</v>
      </c>
      <c r="I52" s="226">
        <f t="shared" si="12"/>
        <v>0.00772105933987197</v>
      </c>
      <c r="J52" s="212"/>
      <c r="K52" s="213"/>
      <c r="L52" s="212"/>
      <c r="M52" s="212"/>
      <c r="N52" s="188"/>
      <c r="O52" s="225">
        <v>32303</v>
      </c>
      <c r="P52" s="226">
        <f t="shared" si="13"/>
        <v>0.0300842431450571</v>
      </c>
      <c r="Q52" s="212"/>
      <c r="R52" s="212"/>
      <c r="S52" s="176">
        <f t="shared" si="5"/>
        <v>-15303</v>
      </c>
      <c r="T52" s="208">
        <f t="shared" si="6"/>
        <v>-0.4737330898059</v>
      </c>
    </row>
    <row r="53" ht="21" spans="1:21">
      <c r="A53" s="231"/>
      <c r="C53" s="212" t="s">
        <v>82</v>
      </c>
      <c r="D53" s="212"/>
      <c r="E53" s="212"/>
      <c r="F53" s="212"/>
      <c r="G53" s="188"/>
      <c r="H53" s="225">
        <v>500</v>
      </c>
      <c r="I53" s="226">
        <f t="shared" si="12"/>
        <v>0.00022708998058447</v>
      </c>
      <c r="J53" s="212"/>
      <c r="K53" s="213"/>
      <c r="L53" s="212"/>
      <c r="M53" s="212"/>
      <c r="N53" s="188"/>
      <c r="O53" s="225"/>
      <c r="P53" s="226"/>
      <c r="Q53" s="212"/>
      <c r="R53" s="212"/>
      <c r="S53" s="176">
        <f t="shared" si="5"/>
        <v>500</v>
      </c>
      <c r="T53" s="208" t="e">
        <f t="shared" si="6"/>
        <v>#DIV/0!</v>
      </c>
    </row>
    <row r="54" ht="21" hidden="1" spans="1:21">
      <c r="A54" s="231"/>
      <c r="C54" s="212" t="s">
        <v>83</v>
      </c>
      <c r="D54" s="212"/>
      <c r="E54" s="212"/>
      <c r="F54" s="212"/>
      <c r="G54" s="188"/>
      <c r="H54" s="225"/>
      <c r="I54" s="226">
        <f t="shared" si="12"/>
        <v>0</v>
      </c>
      <c r="J54" s="212"/>
      <c r="K54" s="213"/>
      <c r="L54" s="209"/>
      <c r="M54" s="209"/>
      <c r="N54" s="188"/>
      <c r="O54" s="225"/>
      <c r="P54" s="226">
        <f t="shared" si="13"/>
        <v>0</v>
      </c>
      <c r="Q54" s="192"/>
      <c r="R54" s="212"/>
      <c r="S54" s="176">
        <f t="shared" si="5"/>
        <v>0</v>
      </c>
      <c r="T54" s="208" t="e">
        <f t="shared" si="6"/>
        <v>#DIV/0!</v>
      </c>
    </row>
    <row r="55" ht="21" spans="1:21">
      <c r="A55" s="231"/>
      <c r="C55" s="212" t="s">
        <v>84</v>
      </c>
      <c r="D55" s="212"/>
      <c r="E55" s="212"/>
      <c r="F55" s="212"/>
      <c r="G55" s="188"/>
      <c r="H55" s="225">
        <v>2600</v>
      </c>
      <c r="I55" s="226">
        <f t="shared" si="12"/>
        <v>0.00118086789903924</v>
      </c>
      <c r="J55" s="212"/>
      <c r="K55" s="213"/>
      <c r="L55" s="212"/>
      <c r="M55" s="212"/>
      <c r="N55" s="188"/>
      <c r="O55" s="225"/>
      <c r="P55" s="226"/>
      <c r="Q55" s="212"/>
      <c r="R55" s="212"/>
      <c r="S55" s="176">
        <f t="shared" si="5"/>
        <v>2600</v>
      </c>
      <c r="T55" s="208" t="e">
        <f t="shared" si="6"/>
        <v>#DIV/0!</v>
      </c>
    </row>
    <row r="56" ht="21" spans="1:21">
      <c r="A56" s="231"/>
      <c r="C56" s="212" t="s">
        <v>85</v>
      </c>
      <c r="D56" s="212"/>
      <c r="E56" s="212"/>
      <c r="F56" s="212"/>
      <c r="G56" s="188"/>
      <c r="H56" s="225">
        <v>6000</v>
      </c>
      <c r="I56" s="226">
        <f t="shared" si="12"/>
        <v>0.00272507976701364</v>
      </c>
      <c r="J56" s="212"/>
      <c r="K56" s="213"/>
      <c r="L56" s="212"/>
      <c r="M56" s="212"/>
      <c r="N56" s="188"/>
      <c r="O56" s="225">
        <v>5059</v>
      </c>
      <c r="P56" s="226">
        <f t="shared" si="13"/>
        <v>0.00471151862275466</v>
      </c>
      <c r="Q56" s="212"/>
      <c r="R56" s="212"/>
      <c r="S56" s="176">
        <f t="shared" si="5"/>
        <v>941</v>
      </c>
      <c r="T56" s="208">
        <f t="shared" si="6"/>
        <v>0.186005139355604</v>
      </c>
    </row>
    <row r="57" ht="21" spans="1:21">
      <c r="A57" s="231"/>
      <c r="C57" s="212" t="s">
        <v>86</v>
      </c>
      <c r="D57" s="212"/>
      <c r="E57" s="212"/>
      <c r="F57" s="212"/>
      <c r="G57" s="188"/>
      <c r="H57" s="176">
        <v>15000</v>
      </c>
      <c r="I57" s="226">
        <f t="shared" si="12"/>
        <v>0.0068126994175341</v>
      </c>
      <c r="J57" s="212"/>
      <c r="K57" s="213"/>
      <c r="L57" s="233"/>
      <c r="M57" s="233"/>
      <c r="N57" s="188"/>
      <c r="O57" s="176">
        <v>6471.08</v>
      </c>
      <c r="P57" s="226">
        <f t="shared" si="13"/>
        <v>0.0060266088020034</v>
      </c>
      <c r="Q57" s="192"/>
      <c r="R57" s="212"/>
      <c r="S57" s="176">
        <f t="shared" si="5"/>
        <v>8528.92</v>
      </c>
      <c r="T57" s="208">
        <f t="shared" si="6"/>
        <v>1.31800564975244</v>
      </c>
    </row>
    <row r="58" ht="18" spans="1:21">
      <c r="C58" s="209" t="s">
        <v>87</v>
      </c>
      <c r="D58" s="209"/>
      <c r="E58" s="209"/>
      <c r="F58" s="209"/>
      <c r="G58" s="188"/>
      <c r="H58" s="197">
        <f>SUM(H49:H57)</f>
        <v>69750</v>
      </c>
      <c r="I58" s="226">
        <f t="shared" si="12"/>
        <v>0.0316790522915335</v>
      </c>
      <c r="J58" s="192"/>
      <c r="K58" s="193"/>
      <c r="L58" s="233"/>
      <c r="M58" s="233"/>
      <c r="N58" s="188"/>
      <c r="O58" s="197">
        <f>SUM(O49:O57)</f>
        <v>61183.08</v>
      </c>
      <c r="P58" s="226">
        <f t="shared" si="13"/>
        <v>0.0569806722311698</v>
      </c>
      <c r="Q58" s="192"/>
      <c r="R58" s="192"/>
      <c r="S58" s="217">
        <f t="shared" si="5"/>
        <v>8566.92</v>
      </c>
      <c r="T58" s="235">
        <f t="shared" si="6"/>
        <v>0.140021064647285</v>
      </c>
    </row>
    <row r="59" spans="1:21">
      <c r="C59" s="212"/>
      <c r="D59" s="212"/>
      <c r="E59" s="212"/>
      <c r="F59" s="212"/>
      <c r="G59" s="188"/>
      <c r="H59" s="200"/>
      <c r="I59" s="188"/>
      <c r="J59" s="212"/>
      <c r="K59" s="213"/>
      <c r="L59" s="212"/>
      <c r="M59" s="212"/>
      <c r="N59" s="188"/>
      <c r="O59" s="200"/>
      <c r="P59" s="188"/>
      <c r="Q59" s="212"/>
      <c r="R59" s="212"/>
      <c r="S59" s="200"/>
      <c r="T59" s="200"/>
    </row>
    <row r="60" ht="15.75" customHeight="1" spans="1:21">
      <c r="A60" s="231"/>
      <c r="C60" s="212"/>
      <c r="D60" s="212"/>
      <c r="E60" s="212"/>
      <c r="F60" s="212"/>
      <c r="G60" s="188"/>
      <c r="H60" s="191"/>
      <c r="I60" s="188"/>
      <c r="J60" s="212"/>
      <c r="K60" s="213"/>
      <c r="L60" s="161"/>
      <c r="M60" s="161"/>
      <c r="N60" s="236"/>
      <c r="O60" s="191"/>
      <c r="P60" s="188"/>
      <c r="Q60" s="164"/>
      <c r="R60" s="212"/>
      <c r="S60" s="191"/>
      <c r="T60" s="191"/>
    </row>
    <row r="61" ht="18" spans="1:21">
      <c r="C61" s="233" t="s">
        <v>88</v>
      </c>
      <c r="D61" s="233"/>
      <c r="E61" s="233"/>
      <c r="F61" s="233"/>
      <c r="G61" s="188"/>
      <c r="H61" s="237">
        <f>H44+H58</f>
        <v>1255805.78761062</v>
      </c>
      <c r="I61" s="188"/>
      <c r="J61" s="192"/>
      <c r="K61" s="193"/>
      <c r="L61" s="238"/>
      <c r="M61" s="238"/>
      <c r="N61" s="236"/>
      <c r="O61" s="237">
        <f>O44+O58</f>
        <v>638582.64</v>
      </c>
      <c r="P61" s="188"/>
      <c r="Q61" s="238"/>
      <c r="R61" s="192"/>
      <c r="S61" s="237">
        <f>H61-O61</f>
        <v>617223.147610619</v>
      </c>
      <c r="T61" s="239">
        <f>S61/O61</f>
        <v>0.966551717739492</v>
      </c>
    </row>
    <row r="62" ht="18" spans="1:21">
      <c r="C62" s="233"/>
      <c r="D62" s="233"/>
      <c r="E62" s="233"/>
      <c r="F62" s="233"/>
      <c r="G62" s="188"/>
      <c r="H62" s="237"/>
      <c r="I62" s="188"/>
      <c r="J62" s="192"/>
      <c r="K62" s="193"/>
      <c r="L62" s="238"/>
      <c r="M62" s="238"/>
      <c r="N62" s="236"/>
      <c r="O62" s="237"/>
      <c r="P62" s="188"/>
      <c r="Q62" s="238"/>
      <c r="R62" s="192"/>
      <c r="S62" s="237"/>
      <c r="T62" s="239"/>
    </row>
    <row r="63" spans="1:21">
      <c r="C63" s="212" t="s">
        <v>89</v>
      </c>
      <c r="D63" s="212"/>
      <c r="E63" s="212"/>
      <c r="F63" s="212"/>
      <c r="G63" s="188"/>
      <c r="H63" s="200">
        <f>(H16+H392)*0.12</f>
        <v>34347.610619469</v>
      </c>
      <c r="I63" s="188"/>
      <c r="J63" s="212"/>
      <c r="K63" s="213"/>
      <c r="L63" s="240"/>
      <c r="M63" s="212"/>
      <c r="N63" s="188"/>
      <c r="O63" s="200">
        <v>16053</v>
      </c>
      <c r="P63" s="188"/>
      <c r="Q63" s="212"/>
      <c r="R63" s="212"/>
      <c r="S63" s="200"/>
      <c r="T63" s="200"/>
    </row>
    <row r="64" ht="21.75" spans="1:21">
      <c r="C64" s="161" t="s">
        <v>90</v>
      </c>
      <c r="D64" s="161"/>
      <c r="E64" s="161"/>
      <c r="F64" s="161"/>
      <c r="G64" s="236"/>
      <c r="H64" s="255">
        <f>H17-H61-H63</f>
        <v>911617.013274336</v>
      </c>
      <c r="I64" s="236"/>
      <c r="J64" s="164"/>
      <c r="K64" s="242"/>
      <c r="L64" s="243"/>
      <c r="M64" s="161"/>
      <c r="N64" s="236"/>
      <c r="O64" s="255">
        <f>O17-O61-O63</f>
        <v>419115.82</v>
      </c>
      <c r="P64" s="236"/>
      <c r="Q64" s="164"/>
      <c r="R64" s="164"/>
      <c r="S64" s="241">
        <f>H64-O64</f>
        <v>492501.193274336</v>
      </c>
      <c r="T64" s="235">
        <f>S64/O64</f>
        <v>1.17509568900152</v>
      </c>
    </row>
    <row r="65" ht="21.6" customHeight="1" spans="3:20">
      <c r="C65" s="238" t="s">
        <v>31</v>
      </c>
      <c r="D65" s="238"/>
      <c r="E65" s="238"/>
      <c r="F65" s="238"/>
      <c r="G65" s="236"/>
      <c r="H65" s="244">
        <f>H64/H17</f>
        <v>0.414038179689883</v>
      </c>
      <c r="I65" s="236"/>
      <c r="J65" s="238"/>
      <c r="K65" s="245"/>
      <c r="L65" s="246"/>
      <c r="M65" s="238"/>
      <c r="N65" s="236"/>
      <c r="O65" s="244">
        <f>O64/O17</f>
        <v>0.390328521648762</v>
      </c>
      <c r="P65" s="236"/>
      <c r="Q65" s="238"/>
      <c r="R65" s="238"/>
      <c r="S65" s="247"/>
      <c r="T65" s="248"/>
    </row>
    <row r="66" spans="3:20">
      <c r="G66" s="188"/>
      <c r="I66" s="188"/>
      <c r="K66" s="201"/>
      <c r="L66" s="202"/>
      <c r="N66" s="188"/>
      <c r="P66" s="188"/>
    </row>
  </sheetData>
  <mergeCells count="3">
    <mergeCell ref="E5:J5"/>
    <mergeCell ref="L5:Q5"/>
    <mergeCell ref="S5:T5"/>
  </mergeCells>
  <printOptions horizontalCentered="1"/>
  <pageMargins left="0.708661417322835" right="0.708661417322835" top="0.196850393700787" bottom="0.196850393700787" header="0.31496062992126" footer="0.31496062992126"/>
  <pageSetup paperSize="9" scale="51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68"/>
  <sheetViews>
    <sheetView view="pageBreakPreview" zoomScale="70" zoomScaleNormal="70" workbookViewId="0">
      <pane ySplit="5" topLeftCell="A59" activePane="bottomLeft" state="frozen"/>
      <selection/>
      <selection pane="bottomLeft" activeCell="O66" sqref="H66 O66"/>
    </sheetView>
  </sheetViews>
  <sheetFormatPr defaultColWidth="10.6296296296296" defaultRowHeight="15.6"/>
  <cols>
    <col min="1" max="1" width="6.62962962962963" style="155" customWidth="1"/>
    <col min="2" max="2" width="1" style="155" customWidth="1"/>
    <col min="3" max="3" width="32.3796296296296" style="155" customWidth="1"/>
    <col min="4" max="4" width="4.12962962962963" style="155" customWidth="1"/>
    <col min="5" max="5" width="17" style="155" customWidth="1"/>
    <col min="6" max="6" width="10.6296296296296" style="155" customWidth="1"/>
    <col min="7" max="7" width="12.25" style="155" customWidth="1"/>
    <col min="8" max="8" width="16.1296296296296" style="155" customWidth="1"/>
    <col min="9" max="9" width="12.3796296296296" style="155" customWidth="1"/>
    <col min="10" max="10" width="11" style="155" customWidth="1"/>
    <col min="11" max="11" width="1.37962962962963" style="155" customWidth="1"/>
    <col min="12" max="12" width="36.3796296296296" style="155" customWidth="1"/>
    <col min="13" max="13" width="18.3796296296296" style="155" customWidth="1"/>
    <col min="14" max="14" width="12.25" style="155" customWidth="1"/>
    <col min="15" max="15" width="14.3796296296296" style="155" customWidth="1"/>
    <col min="16" max="16" width="12.3796296296296" style="155" customWidth="1"/>
    <col min="17" max="17" width="11" style="155" customWidth="1"/>
    <col min="18" max="18" width="3.75" style="155" customWidth="1"/>
    <col min="19" max="19" width="13.8796296296296" style="155" customWidth="1"/>
    <col min="20" max="20" width="9.25" style="155" customWidth="1"/>
    <col min="21" max="16384" width="10.6296296296296" style="155"/>
  </cols>
  <sheetData>
    <row r="1" ht="21" spans="1:20">
      <c r="A1" s="156" t="s">
        <v>37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</row>
    <row r="2" ht="21" spans="1:20">
      <c r="A2" s="157" t="s">
        <v>38</v>
      </c>
    </row>
    <row r="4" s="154" customFormat="1" ht="21" spans="1:20">
      <c r="B4" s="156"/>
      <c r="C4" s="156"/>
      <c r="D4" s="156"/>
      <c r="E4" s="158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5"/>
      <c r="S4" s="155"/>
      <c r="T4" s="155"/>
    </row>
    <row r="5" ht="21" spans="1:20">
      <c r="A5" s="160">
        <v>1</v>
      </c>
      <c r="B5" s="161"/>
      <c r="C5" s="161" t="s">
        <v>4</v>
      </c>
      <c r="D5" s="161"/>
      <c r="E5" s="162" t="s">
        <v>39</v>
      </c>
      <c r="F5" s="162"/>
      <c r="G5" s="162"/>
      <c r="H5" s="162"/>
      <c r="I5" s="162"/>
      <c r="J5" s="162"/>
      <c r="K5" s="163"/>
      <c r="L5" s="162" t="s">
        <v>40</v>
      </c>
      <c r="M5" s="162"/>
      <c r="N5" s="162"/>
      <c r="O5" s="162"/>
      <c r="P5" s="162"/>
      <c r="Q5" s="162"/>
      <c r="R5" s="156"/>
      <c r="S5" s="162" t="s">
        <v>41</v>
      </c>
      <c r="T5" s="162"/>
    </row>
    <row r="6" ht="31.2" spans="1:20">
      <c r="C6" s="164" t="s">
        <v>6</v>
      </c>
      <c r="E6" s="155" t="s">
        <v>42</v>
      </c>
      <c r="F6" s="165" t="s">
        <v>43</v>
      </c>
      <c r="G6" s="166" t="s">
        <v>7</v>
      </c>
      <c r="H6" s="167" t="s">
        <v>44</v>
      </c>
      <c r="I6" s="168" t="s">
        <v>8</v>
      </c>
      <c r="J6" s="169" t="s">
        <v>45</v>
      </c>
      <c r="K6" s="170"/>
      <c r="L6" s="171" t="s">
        <v>42</v>
      </c>
      <c r="M6" s="165" t="s">
        <v>43</v>
      </c>
      <c r="N6" s="166" t="s">
        <v>7</v>
      </c>
      <c r="O6" s="167" t="s">
        <v>46</v>
      </c>
      <c r="P6" s="168" t="s">
        <v>8</v>
      </c>
      <c r="Q6" s="169" t="s">
        <v>45</v>
      </c>
      <c r="R6" s="172"/>
      <c r="S6" s="173" t="s">
        <v>47</v>
      </c>
      <c r="T6" s="173" t="s">
        <v>48</v>
      </c>
    </row>
    <row r="7" spans="1:20">
      <c r="C7" s="155" t="s">
        <v>49</v>
      </c>
      <c r="E7" s="155" t="s">
        <v>50</v>
      </c>
      <c r="F7" s="174">
        <v>688</v>
      </c>
      <c r="G7" s="175">
        <v>2000</v>
      </c>
      <c r="H7" s="176">
        <f>G7*I7</f>
        <v>516000</v>
      </c>
      <c r="I7" s="177">
        <v>258</v>
      </c>
      <c r="J7" s="178">
        <f>I7/F7</f>
        <v>0.375</v>
      </c>
      <c r="K7" s="179"/>
      <c r="L7" s="180" t="s">
        <v>51</v>
      </c>
      <c r="M7" s="174">
        <v>598</v>
      </c>
      <c r="N7" s="175">
        <v>1508</v>
      </c>
      <c r="O7" s="176">
        <f>234548.56*1.13</f>
        <v>265039.8728</v>
      </c>
      <c r="P7" s="177">
        <f>O7/N7</f>
        <v>175.755883819629</v>
      </c>
      <c r="Q7" s="178">
        <f>P7/M7</f>
        <v>0.293906160233493</v>
      </c>
      <c r="R7" s="178"/>
      <c r="S7" s="181">
        <f>H7-O7</f>
        <v>250960.1272</v>
      </c>
      <c r="T7" s="182">
        <f>S7/O7</f>
        <v>0.946876877613715</v>
      </c>
    </row>
    <row r="8" spans="1:20">
      <c r="C8" s="155" t="s">
        <v>52</v>
      </c>
      <c r="E8" s="155" t="s">
        <v>53</v>
      </c>
      <c r="F8" s="174">
        <v>478</v>
      </c>
      <c r="G8" s="175">
        <v>4000</v>
      </c>
      <c r="H8" s="176">
        <f>G8*I8</f>
        <v>576000</v>
      </c>
      <c r="I8" s="177">
        <v>144</v>
      </c>
      <c r="J8" s="178">
        <f>I8/F8</f>
        <v>0.301255230125523</v>
      </c>
      <c r="K8" s="179"/>
      <c r="L8" s="180" t="s">
        <v>54</v>
      </c>
      <c r="M8" s="174">
        <v>398</v>
      </c>
      <c r="N8" s="175">
        <v>3226</v>
      </c>
      <c r="O8" s="176">
        <f>309273.72*1.13</f>
        <v>349479.3036</v>
      </c>
      <c r="P8" s="177">
        <f t="shared" ref="P8:P10" si="0">O8/N8</f>
        <v>108.332084190949</v>
      </c>
      <c r="Q8" s="178">
        <f>P8/M8</f>
        <v>0.272191166308916</v>
      </c>
      <c r="R8" s="178"/>
      <c r="S8" s="181">
        <f>H8-O8</f>
        <v>226520.6964</v>
      </c>
      <c r="T8" s="182">
        <f>S8/O8</f>
        <v>0.648166269265738</v>
      </c>
    </row>
    <row r="9" hidden="1" spans="1:20">
      <c r="C9" s="155" t="s">
        <v>11</v>
      </c>
      <c r="F9" s="174"/>
      <c r="G9" s="175"/>
      <c r="H9" s="176">
        <f t="shared" ref="H9:H11" si="1">G9*I9</f>
        <v>0</v>
      </c>
      <c r="I9" s="177"/>
      <c r="J9" s="178"/>
      <c r="K9" s="179"/>
      <c r="L9" s="180"/>
      <c r="M9" s="174"/>
      <c r="N9" s="175"/>
      <c r="O9" s="176"/>
      <c r="P9" s="177"/>
      <c r="Q9" s="178"/>
      <c r="R9" s="178"/>
      <c r="S9" s="181">
        <f t="shared" ref="S9:S10" si="2">H9-O9</f>
        <v>0</v>
      </c>
      <c r="T9" s="182" t="e">
        <f t="shared" ref="T9:T10" si="3">S9/O9</f>
        <v>#DIV/0!</v>
      </c>
    </row>
    <row r="10" spans="1:20">
      <c r="C10" s="155" t="s">
        <v>55</v>
      </c>
      <c r="E10" s="155" t="s">
        <v>56</v>
      </c>
      <c r="F10" s="174">
        <v>298</v>
      </c>
      <c r="G10" s="175">
        <v>10000</v>
      </c>
      <c r="H10" s="176">
        <f t="shared" si="1"/>
        <v>820000</v>
      </c>
      <c r="I10" s="177">
        <v>82</v>
      </c>
      <c r="J10" s="178">
        <f>I10/F10</f>
        <v>0.275167785234899</v>
      </c>
      <c r="K10" s="179"/>
      <c r="L10" s="180" t="s">
        <v>56</v>
      </c>
      <c r="M10" s="174">
        <v>298</v>
      </c>
      <c r="N10" s="175">
        <v>7094</v>
      </c>
      <c r="O10" s="176">
        <f>529929.18*1.13</f>
        <v>598819.9734</v>
      </c>
      <c r="P10" s="177">
        <f t="shared" si="0"/>
        <v>84.4121755568086</v>
      </c>
      <c r="Q10" s="178">
        <f>P10/M10</f>
        <v>0.28326233408325</v>
      </c>
      <c r="R10" s="178"/>
      <c r="S10" s="181">
        <f t="shared" si="2"/>
        <v>221180.0266</v>
      </c>
      <c r="T10" s="182">
        <f t="shared" si="3"/>
        <v>0.369359801651533</v>
      </c>
    </row>
    <row r="11" spans="1:20">
      <c r="C11" s="155" t="s">
        <v>57</v>
      </c>
      <c r="E11" s="155" t="s">
        <v>56</v>
      </c>
      <c r="F11" s="174">
        <v>268</v>
      </c>
      <c r="G11" s="175">
        <v>9000</v>
      </c>
      <c r="H11" s="176">
        <f t="shared" si="1"/>
        <v>576000</v>
      </c>
      <c r="I11" s="177">
        <v>64</v>
      </c>
      <c r="J11" s="178">
        <f>I11/F11</f>
        <v>0.238805970149254</v>
      </c>
      <c r="K11" s="179"/>
      <c r="L11" s="180" t="s">
        <v>58</v>
      </c>
      <c r="M11" s="183">
        <v>268</v>
      </c>
      <c r="N11" s="184"/>
      <c r="O11" s="176">
        <v>0</v>
      </c>
      <c r="P11" s="177"/>
      <c r="Q11" s="178"/>
      <c r="R11" s="178"/>
      <c r="S11" s="176"/>
      <c r="T11" s="176"/>
    </row>
    <row r="12" spans="1:20">
      <c r="C12" s="155" t="s">
        <v>91</v>
      </c>
      <c r="F12" s="174"/>
      <c r="G12" s="175">
        <v>400</v>
      </c>
      <c r="H12" s="176">
        <v>0</v>
      </c>
      <c r="I12" s="177"/>
      <c r="J12" s="178"/>
      <c r="K12" s="179"/>
      <c r="L12" s="155" t="s">
        <v>91</v>
      </c>
      <c r="M12" s="183"/>
      <c r="N12" s="175">
        <v>839</v>
      </c>
      <c r="O12" s="176">
        <v>0</v>
      </c>
      <c r="P12" s="177"/>
      <c r="Q12" s="178"/>
      <c r="R12" s="178"/>
      <c r="S12" s="176"/>
      <c r="T12" s="176"/>
    </row>
    <row r="13" spans="1:20">
      <c r="F13" s="174"/>
      <c r="G13" s="175"/>
      <c r="H13" s="176"/>
      <c r="I13" s="177"/>
      <c r="J13" s="178"/>
      <c r="K13" s="179"/>
      <c r="L13" s="155" t="s">
        <v>97</v>
      </c>
      <c r="M13" s="183"/>
      <c r="N13" s="175">
        <v>429</v>
      </c>
      <c r="O13" s="176">
        <v>0</v>
      </c>
      <c r="P13" s="177"/>
      <c r="Q13" s="178"/>
      <c r="R13" s="178"/>
      <c r="S13" s="176"/>
      <c r="T13" s="176"/>
    </row>
    <row r="14" spans="1:20">
      <c r="C14" s="185"/>
      <c r="D14" s="185"/>
      <c r="E14" s="185"/>
      <c r="F14" s="185"/>
      <c r="G14" s="186">
        <f>SUM(G7:G13)</f>
        <v>25400</v>
      </c>
      <c r="H14" s="187"/>
      <c r="I14" s="188"/>
      <c r="J14" s="185"/>
      <c r="K14" s="189"/>
      <c r="L14" s="190"/>
      <c r="M14" s="185"/>
      <c r="N14" s="186">
        <f>SUM(N7:N13)</f>
        <v>13096</v>
      </c>
      <c r="O14" s="187"/>
      <c r="P14" s="188"/>
      <c r="Q14" s="185"/>
      <c r="R14" s="185"/>
      <c r="S14" s="181">
        <f>G14-N14</f>
        <v>12304</v>
      </c>
      <c r="T14" s="182">
        <f>S14/N14</f>
        <v>0.939523518631643</v>
      </c>
    </row>
    <row r="15" ht="18" spans="1:20">
      <c r="C15" s="164" t="s">
        <v>13</v>
      </c>
      <c r="D15" s="164"/>
      <c r="E15" s="164"/>
      <c r="F15" s="164"/>
      <c r="G15" s="175"/>
      <c r="H15" s="191">
        <f>SUM(H7:H14)</f>
        <v>2488000</v>
      </c>
      <c r="I15" s="188"/>
      <c r="J15" s="192"/>
      <c r="K15" s="193"/>
      <c r="L15" s="194"/>
      <c r="M15" s="164"/>
      <c r="N15" s="175"/>
      <c r="O15" s="191">
        <f>SUM(O7:O14)</f>
        <v>1213339.1498</v>
      </c>
      <c r="P15" s="188"/>
      <c r="Q15" s="192"/>
      <c r="R15" s="192"/>
      <c r="S15" s="191"/>
      <c r="T15" s="191"/>
    </row>
    <row r="16" ht="18" spans="1:20">
      <c r="A16" s="155" t="s">
        <v>14</v>
      </c>
      <c r="C16" s="164" t="s">
        <v>59</v>
      </c>
      <c r="D16" s="164"/>
      <c r="E16" s="164"/>
      <c r="F16" s="164"/>
      <c r="G16" s="188"/>
      <c r="H16" s="195">
        <f>H15/1.13*0.13</f>
        <v>286230.088495575</v>
      </c>
      <c r="I16" s="188"/>
      <c r="J16" s="192"/>
      <c r="K16" s="193"/>
      <c r="L16" s="194"/>
      <c r="M16" s="164"/>
      <c r="N16" s="188"/>
      <c r="O16" s="196">
        <f>O15/1.13*0.13</f>
        <v>139587.6898</v>
      </c>
      <c r="P16" s="188"/>
      <c r="Q16" s="192"/>
      <c r="R16" s="192"/>
      <c r="S16" s="195"/>
      <c r="T16" s="195"/>
    </row>
    <row r="17" ht="18" spans="1:20">
      <c r="C17" s="164" t="s">
        <v>60</v>
      </c>
      <c r="D17" s="164"/>
      <c r="E17" s="164"/>
      <c r="F17" s="164"/>
      <c r="G17" s="188"/>
      <c r="H17" s="197">
        <f>H15-H16+0.5</f>
        <v>2201770.41150442</v>
      </c>
      <c r="I17" s="188"/>
      <c r="J17" s="198"/>
      <c r="K17" s="193"/>
      <c r="L17" s="194"/>
      <c r="M17" s="164"/>
      <c r="N17" s="188"/>
      <c r="O17" s="197">
        <f>O15-O16</f>
        <v>1073751.46</v>
      </c>
      <c r="P17" s="188"/>
      <c r="Q17" s="192"/>
      <c r="R17" s="192"/>
      <c r="S17" s="197">
        <f>H17-O17</f>
        <v>1128018.95150442</v>
      </c>
      <c r="T17" s="199">
        <f>S17/O17</f>
        <v>1.05054008634775</v>
      </c>
    </row>
    <row r="18" spans="1:20">
      <c r="C18" s="192"/>
      <c r="D18" s="192"/>
      <c r="E18" s="192"/>
      <c r="F18" s="192"/>
      <c r="G18" s="188"/>
      <c r="H18" s="191"/>
      <c r="I18" s="188"/>
      <c r="J18" s="192"/>
      <c r="K18" s="193"/>
      <c r="L18" s="194"/>
      <c r="M18" s="192"/>
      <c r="N18" s="188"/>
      <c r="O18" s="191"/>
      <c r="P18" s="188"/>
      <c r="Q18" s="192"/>
      <c r="R18" s="192"/>
      <c r="S18" s="191"/>
      <c r="T18" s="191"/>
    </row>
    <row r="19" spans="1:20">
      <c r="G19" s="188"/>
      <c r="H19" s="200"/>
      <c r="I19" s="188"/>
      <c r="K19" s="201"/>
      <c r="L19" s="202"/>
      <c r="N19" s="188"/>
      <c r="O19" s="200"/>
      <c r="P19" s="188"/>
      <c r="S19" s="200"/>
      <c r="T19" s="200"/>
    </row>
    <row r="20" ht="21" spans="1:20">
      <c r="A20" s="160">
        <v>2</v>
      </c>
      <c r="B20" s="161"/>
      <c r="C20" s="161" t="s">
        <v>61</v>
      </c>
      <c r="D20" s="161"/>
      <c r="E20" s="161"/>
      <c r="F20" s="161"/>
      <c r="G20" s="203"/>
      <c r="H20" s="176"/>
      <c r="I20" s="203"/>
      <c r="J20" s="204"/>
      <c r="K20" s="205"/>
      <c r="L20" s="161"/>
      <c r="M20" s="161"/>
      <c r="N20" s="203"/>
      <c r="O20" s="176"/>
      <c r="P20" s="203"/>
      <c r="Q20" s="204"/>
      <c r="R20" s="204"/>
      <c r="S20" s="176"/>
      <c r="T20" s="176"/>
    </row>
    <row r="21" ht="18" spans="1:20">
      <c r="C21" s="164" t="s">
        <v>62</v>
      </c>
      <c r="D21" s="164"/>
      <c r="E21" s="164"/>
      <c r="F21" s="164"/>
      <c r="G21" s="166" t="s">
        <v>7</v>
      </c>
      <c r="H21" s="176"/>
      <c r="I21" s="166" t="s">
        <v>63</v>
      </c>
      <c r="J21" s="206"/>
      <c r="K21" s="207"/>
      <c r="L21" s="164"/>
      <c r="M21" s="164"/>
      <c r="N21" s="166" t="s">
        <v>7</v>
      </c>
      <c r="O21" s="176"/>
      <c r="P21" s="166" t="s">
        <v>63</v>
      </c>
      <c r="Q21" s="206"/>
      <c r="R21" s="206"/>
      <c r="S21" s="176"/>
      <c r="T21" s="176"/>
    </row>
    <row r="22" ht="18" spans="1:20">
      <c r="A22" s="188" t="s">
        <v>64</v>
      </c>
      <c r="C22" s="192" t="s">
        <v>65</v>
      </c>
      <c r="D22" s="164"/>
      <c r="E22" s="164"/>
      <c r="F22" s="164"/>
      <c r="G22" s="166"/>
      <c r="H22" s="176"/>
      <c r="I22" s="166"/>
      <c r="J22" s="206"/>
      <c r="K22" s="207"/>
      <c r="L22" s="164"/>
      <c r="M22" s="164"/>
      <c r="N22" s="166"/>
      <c r="O22" s="176"/>
      <c r="P22" s="166"/>
      <c r="Q22" s="206"/>
      <c r="R22" s="206"/>
      <c r="S22" s="176"/>
      <c r="T22" s="176"/>
    </row>
    <row r="23" spans="1:20">
      <c r="C23" s="155" t="s">
        <v>66</v>
      </c>
      <c r="E23" s="155" t="s">
        <v>51</v>
      </c>
      <c r="G23" s="175">
        <f>G7</f>
        <v>2000</v>
      </c>
      <c r="H23" s="176">
        <f>G23*I23</f>
        <v>74860</v>
      </c>
      <c r="I23" s="177">
        <f>37.43</f>
        <v>37.43</v>
      </c>
      <c r="K23" s="201"/>
      <c r="L23" s="155" t="s">
        <v>51</v>
      </c>
      <c r="N23" s="175">
        <v>1500</v>
      </c>
      <c r="O23" s="176">
        <f>N23*P23</f>
        <v>39615</v>
      </c>
      <c r="P23" s="177">
        <f>26.41</f>
        <v>26.41</v>
      </c>
      <c r="S23" s="176">
        <f>H23-O23</f>
        <v>35245</v>
      </c>
      <c r="T23" s="208">
        <f>S23/O23</f>
        <v>0.88968824940048</v>
      </c>
    </row>
    <row r="24" spans="1:20">
      <c r="C24" s="155" t="s">
        <v>67</v>
      </c>
      <c r="E24" s="155" t="s">
        <v>54</v>
      </c>
      <c r="G24" s="175">
        <f>G8</f>
        <v>4000</v>
      </c>
      <c r="H24" s="176">
        <f t="shared" ref="H24:H27" si="4">G24*I24</f>
        <v>111520</v>
      </c>
      <c r="I24" s="177">
        <f>27.88</f>
        <v>27.88</v>
      </c>
      <c r="K24" s="201"/>
      <c r="L24" s="155" t="s">
        <v>54</v>
      </c>
      <c r="N24" s="175">
        <f>3300</f>
        <v>3300</v>
      </c>
      <c r="O24" s="176">
        <f>N24*P24</f>
        <v>70620</v>
      </c>
      <c r="P24" s="177">
        <f>21.4</f>
        <v>21.4</v>
      </c>
      <c r="S24" s="176">
        <f t="shared" ref="S24:S60" si="5">H24-O24</f>
        <v>40900</v>
      </c>
      <c r="T24" s="208">
        <f t="shared" ref="T24:T60" si="6">S24/O24</f>
        <v>0.579156046445766</v>
      </c>
    </row>
    <row r="25" hidden="1" spans="1:20">
      <c r="C25" s="155" t="s">
        <v>11</v>
      </c>
      <c r="G25" s="175">
        <v>0</v>
      </c>
      <c r="H25" s="176">
        <f t="shared" si="4"/>
        <v>0</v>
      </c>
      <c r="I25" s="177"/>
      <c r="K25" s="201"/>
      <c r="N25" s="175">
        <f t="shared" ref="N25" si="7">N9</f>
        <v>0</v>
      </c>
      <c r="O25" s="176">
        <f t="shared" ref="O25" si="8">N25*P25</f>
        <v>0</v>
      </c>
      <c r="P25" s="177"/>
      <c r="S25" s="176">
        <f t="shared" si="5"/>
        <v>0</v>
      </c>
      <c r="T25" s="208" t="e">
        <f t="shared" si="6"/>
        <v>#DIV/0!</v>
      </c>
    </row>
    <row r="26" spans="1:20">
      <c r="C26" s="155" t="s">
        <v>57</v>
      </c>
      <c r="E26" s="155" t="s">
        <v>56</v>
      </c>
      <c r="G26" s="175">
        <v>9400</v>
      </c>
      <c r="H26" s="176">
        <f t="shared" si="4"/>
        <v>183864</v>
      </c>
      <c r="I26" s="177">
        <f>19.56</f>
        <v>19.56</v>
      </c>
      <c r="J26" s="177"/>
      <c r="K26" s="201"/>
      <c r="L26" s="155" t="s">
        <v>56</v>
      </c>
      <c r="N26" s="175">
        <f>18000+400</f>
        <v>18400</v>
      </c>
      <c r="O26" s="176">
        <f>(263692.2+5856)</f>
        <v>269548.2</v>
      </c>
      <c r="P26" s="177">
        <f>O26/N26</f>
        <v>14.6493586956522</v>
      </c>
      <c r="S26" s="176">
        <f t="shared" si="5"/>
        <v>-85684.2</v>
      </c>
      <c r="T26" s="208">
        <f t="shared" si="6"/>
        <v>-0.317880809443357</v>
      </c>
    </row>
    <row r="27" spans="1:20">
      <c r="C27" s="155" t="s">
        <v>68</v>
      </c>
      <c r="E27" s="155" t="s">
        <v>56</v>
      </c>
      <c r="G27" s="175">
        <v>10000</v>
      </c>
      <c r="H27" s="176">
        <f t="shared" si="4"/>
        <v>216800</v>
      </c>
      <c r="I27" s="177">
        <f>21.68</f>
        <v>21.68</v>
      </c>
      <c r="J27" s="177"/>
      <c r="K27" s="201"/>
      <c r="N27" s="175"/>
      <c r="O27" s="176"/>
      <c r="P27" s="177"/>
      <c r="S27" s="176"/>
      <c r="T27" s="208"/>
    </row>
    <row r="28" spans="1:20">
      <c r="G28" s="175"/>
      <c r="H28" s="176"/>
      <c r="I28" s="177"/>
      <c r="K28" s="201"/>
      <c r="N28" s="175"/>
      <c r="O28" s="176"/>
      <c r="P28" s="177"/>
      <c r="S28" s="176"/>
      <c r="T28" s="208"/>
    </row>
    <row r="29" spans="1:20">
      <c r="A29" s="188" t="s">
        <v>69</v>
      </c>
      <c r="C29" s="192" t="s">
        <v>7</v>
      </c>
      <c r="G29" s="175"/>
      <c r="H29" s="176"/>
      <c r="I29" s="177"/>
      <c r="K29" s="201"/>
      <c r="N29" s="175"/>
      <c r="O29" s="176"/>
      <c r="P29" s="177"/>
      <c r="S29" s="176"/>
      <c r="T29" s="208"/>
    </row>
    <row r="30" spans="1:20">
      <c r="C30" s="155" t="s">
        <v>66</v>
      </c>
      <c r="E30" s="155" t="s">
        <v>51</v>
      </c>
      <c r="G30" s="175">
        <f>G7</f>
        <v>2000</v>
      </c>
      <c r="H30" s="176">
        <f>G30*I30</f>
        <v>58060</v>
      </c>
      <c r="I30" s="177">
        <f>29.03</f>
        <v>29.03</v>
      </c>
      <c r="K30" s="201"/>
      <c r="L30" s="155" t="s">
        <v>51</v>
      </c>
      <c r="N30" s="175">
        <f>1474</f>
        <v>1474</v>
      </c>
      <c r="O30" s="176">
        <f>N30*P30</f>
        <v>47610.2</v>
      </c>
      <c r="P30" s="177">
        <f>32.3</f>
        <v>32.3</v>
      </c>
      <c r="S30" s="176">
        <f t="shared" si="5"/>
        <v>10449.8</v>
      </c>
      <c r="T30" s="208">
        <f t="shared" si="6"/>
        <v>0.219486580606677</v>
      </c>
    </row>
    <row r="31" spans="1:20">
      <c r="C31" s="155" t="s">
        <v>67</v>
      </c>
      <c r="E31" s="155" t="s">
        <v>54</v>
      </c>
      <c r="G31" s="175">
        <f>G8</f>
        <v>4000</v>
      </c>
      <c r="H31" s="176">
        <f t="shared" ref="H31:H34" si="9">G31*I31</f>
        <v>94880</v>
      </c>
      <c r="I31" s="177">
        <f>23.72</f>
        <v>23.72</v>
      </c>
      <c r="K31" s="201"/>
      <c r="L31" s="155" t="s">
        <v>54</v>
      </c>
      <c r="N31" s="175">
        <f>3180+22</f>
        <v>3202</v>
      </c>
      <c r="O31" s="176">
        <f t="shared" ref="O31:O32" si="10">N31*P31</f>
        <v>66601.6</v>
      </c>
      <c r="P31" s="177">
        <f>20.8</f>
        <v>20.8</v>
      </c>
      <c r="S31" s="176">
        <f t="shared" si="5"/>
        <v>28278.4</v>
      </c>
      <c r="T31" s="208">
        <f t="shared" si="6"/>
        <v>0.424590400230625</v>
      </c>
    </row>
    <row r="32" hidden="1" spans="1:20">
      <c r="C32" s="155" t="s">
        <v>11</v>
      </c>
      <c r="G32" s="175">
        <v>0</v>
      </c>
      <c r="H32" s="176">
        <f t="shared" si="9"/>
        <v>0</v>
      </c>
      <c r="I32" s="177"/>
      <c r="K32" s="201"/>
      <c r="N32" s="175">
        <v>0</v>
      </c>
      <c r="O32" s="176">
        <f t="shared" si="10"/>
        <v>0</v>
      </c>
      <c r="P32" s="177"/>
      <c r="S32" s="176">
        <f t="shared" si="5"/>
        <v>0</v>
      </c>
      <c r="T32" s="208" t="e">
        <f t="shared" si="6"/>
        <v>#DIV/0!</v>
      </c>
    </row>
    <row r="33" spans="1:20">
      <c r="C33" s="155" t="s">
        <v>57</v>
      </c>
      <c r="E33" s="155" t="s">
        <v>56</v>
      </c>
      <c r="G33" s="175">
        <v>9400</v>
      </c>
      <c r="H33" s="176">
        <f t="shared" si="9"/>
        <v>137256.637168142</v>
      </c>
      <c r="I33" s="177">
        <f>16.5/1.13</f>
        <v>14.6017699115044</v>
      </c>
      <c r="J33" s="177"/>
      <c r="K33" s="201"/>
      <c r="L33" s="155" t="s">
        <v>56</v>
      </c>
      <c r="N33" s="175">
        <f>7024+1246</f>
        <v>8270</v>
      </c>
      <c r="O33" s="176">
        <f>(262824.3-142058)</f>
        <v>120766.3</v>
      </c>
      <c r="P33" s="177">
        <f>O33/N33</f>
        <v>14.602938331318</v>
      </c>
      <c r="S33" s="176">
        <f t="shared" si="5"/>
        <v>16490.3371681416</v>
      </c>
      <c r="T33" s="208">
        <f t="shared" si="6"/>
        <v>0.136547506780796</v>
      </c>
    </row>
    <row r="34" spans="1:20">
      <c r="C34" s="155" t="s">
        <v>68</v>
      </c>
      <c r="E34" s="155" t="s">
        <v>56</v>
      </c>
      <c r="G34" s="175">
        <v>10000</v>
      </c>
      <c r="H34" s="176">
        <f t="shared" si="9"/>
        <v>168100</v>
      </c>
      <c r="I34" s="177">
        <f>16.81</f>
        <v>16.81</v>
      </c>
      <c r="J34" s="177"/>
      <c r="K34" s="201"/>
      <c r="L34" s="155" t="s">
        <v>96</v>
      </c>
      <c r="N34" s="175">
        <v>10254</v>
      </c>
      <c r="O34" s="176">
        <v>0</v>
      </c>
      <c r="P34" s="177"/>
      <c r="S34" s="176"/>
      <c r="T34" s="208"/>
    </row>
    <row r="35" spans="1:20">
      <c r="C35" s="155" t="s">
        <v>93</v>
      </c>
      <c r="G35" s="175">
        <f>704+150</f>
        <v>854</v>
      </c>
      <c r="H35" s="176">
        <f>98*20.8+26*32.3+330*14.6</f>
        <v>7696.2</v>
      </c>
      <c r="I35" s="177">
        <f>H35/G35</f>
        <v>9.01194379391101</v>
      </c>
      <c r="J35" s="177"/>
      <c r="K35" s="201"/>
      <c r="N35" s="175"/>
      <c r="O35" s="176"/>
      <c r="P35" s="177"/>
      <c r="S35" s="176"/>
      <c r="T35" s="208"/>
    </row>
    <row r="36" spans="1:20">
      <c r="G36" s="175"/>
      <c r="H36" s="176"/>
      <c r="I36" s="177"/>
      <c r="K36" s="201"/>
      <c r="N36" s="175"/>
      <c r="O36" s="176"/>
      <c r="P36" s="177"/>
      <c r="S36" s="176"/>
      <c r="T36" s="208"/>
    </row>
    <row r="37" spans="1:20">
      <c r="A37" s="188" t="s">
        <v>98</v>
      </c>
      <c r="C37" s="192" t="s">
        <v>70</v>
      </c>
      <c r="G37" s="175"/>
      <c r="H37" s="176"/>
      <c r="I37" s="177"/>
      <c r="K37" s="201"/>
      <c r="N37" s="175"/>
      <c r="O37" s="176"/>
      <c r="R37" s="175"/>
      <c r="S37" s="176"/>
      <c r="T37" s="208"/>
    </row>
    <row r="38" spans="1:20">
      <c r="C38" s="155" t="s">
        <v>71</v>
      </c>
      <c r="E38" s="155" t="s">
        <v>72</v>
      </c>
      <c r="G38" s="175">
        <v>4000</v>
      </c>
      <c r="H38" s="176">
        <f>G38*I38</f>
        <v>84991.1504424779</v>
      </c>
      <c r="I38" s="177">
        <f>24.01/1.13</f>
        <v>21.2477876106195</v>
      </c>
      <c r="K38" s="201"/>
      <c r="L38" s="155" t="s">
        <v>72</v>
      </c>
      <c r="N38" s="175">
        <v>0</v>
      </c>
      <c r="O38" s="176">
        <v>0</v>
      </c>
      <c r="P38" s="177">
        <v>0</v>
      </c>
      <c r="R38" s="175"/>
      <c r="S38" s="176"/>
      <c r="T38" s="208"/>
    </row>
    <row r="39" ht="16.5" customHeight="1" spans="1:20">
      <c r="C39" s="155" t="s">
        <v>73</v>
      </c>
      <c r="E39" s="155" t="s">
        <v>74</v>
      </c>
      <c r="G39" s="175">
        <v>2000</v>
      </c>
      <c r="H39" s="176">
        <f>G39*I39</f>
        <v>72000</v>
      </c>
      <c r="I39" s="177">
        <f>37.08/1.03</f>
        <v>36</v>
      </c>
      <c r="K39" s="201"/>
      <c r="L39" s="155" t="s">
        <v>74</v>
      </c>
      <c r="N39" s="175">
        <v>0</v>
      </c>
      <c r="O39" s="176">
        <v>0</v>
      </c>
      <c r="P39" s="177">
        <v>0</v>
      </c>
      <c r="R39" s="175"/>
      <c r="S39" s="176"/>
      <c r="T39" s="208"/>
    </row>
    <row r="40" spans="1:20">
      <c r="G40" s="175"/>
      <c r="H40" s="176"/>
      <c r="I40" s="177"/>
      <c r="K40" s="201"/>
      <c r="N40" s="175"/>
      <c r="O40" s="176"/>
      <c r="P40" s="177"/>
      <c r="R40" s="175"/>
      <c r="S40" s="176"/>
      <c r="T40" s="208"/>
    </row>
    <row r="41" ht="15.75" customHeight="1" spans="1:20">
      <c r="C41" s="209" t="s">
        <v>20</v>
      </c>
      <c r="D41" s="209"/>
      <c r="E41" s="209"/>
      <c r="F41" s="209"/>
      <c r="G41" s="210">
        <f>SUM(G23:G27)</f>
        <v>25400</v>
      </c>
      <c r="H41" s="211">
        <f>SUM(H23:H39)</f>
        <v>1210027.98761062</v>
      </c>
      <c r="I41" s="188"/>
      <c r="J41" s="212"/>
      <c r="K41" s="213"/>
      <c r="L41" s="164"/>
      <c r="M41" s="164"/>
      <c r="N41" s="210">
        <f>SUM(N23:N26)</f>
        <v>23200</v>
      </c>
      <c r="O41" s="211">
        <f>SUM(O23:O40)</f>
        <v>614761.3</v>
      </c>
      <c r="P41" s="188"/>
      <c r="Q41" s="214"/>
      <c r="R41" s="212"/>
      <c r="S41" s="176">
        <f t="shared" si="5"/>
        <v>595266.687610619</v>
      </c>
      <c r="T41" s="208">
        <f t="shared" si="6"/>
        <v>0.968289135328817</v>
      </c>
    </row>
    <row r="42" ht="19.5" hidden="1" customHeight="1" spans="1:20">
      <c r="A42" s="155" t="s">
        <v>14</v>
      </c>
      <c r="C42" s="161" t="s">
        <v>75</v>
      </c>
      <c r="D42" s="161"/>
      <c r="E42" s="161"/>
      <c r="F42" s="161"/>
      <c r="G42" s="215"/>
      <c r="H42" s="191"/>
      <c r="I42" s="188"/>
      <c r="J42" s="212"/>
      <c r="K42" s="213"/>
      <c r="N42" s="215"/>
      <c r="O42" s="191"/>
      <c r="P42" s="188"/>
      <c r="Q42" s="216"/>
      <c r="R42" s="212"/>
      <c r="S42" s="176">
        <f t="shared" si="5"/>
        <v>0</v>
      </c>
      <c r="T42" s="208" t="e">
        <f t="shared" si="6"/>
        <v>#DIV/0!</v>
      </c>
    </row>
    <row r="43" hidden="1" spans="1:20">
      <c r="C43" s="192" t="s">
        <v>76</v>
      </c>
      <c r="D43" s="192"/>
      <c r="E43" s="192"/>
      <c r="F43" s="192"/>
      <c r="G43" s="188"/>
      <c r="H43" s="217"/>
      <c r="I43" s="218">
        <f>-H43/H17</f>
        <v>0</v>
      </c>
      <c r="J43" s="216"/>
      <c r="K43" s="219"/>
      <c r="L43" s="220"/>
      <c r="M43" s="220"/>
      <c r="N43" s="188"/>
      <c r="O43" s="217"/>
      <c r="P43" s="221"/>
      <c r="Q43" s="220"/>
      <c r="R43" s="216"/>
      <c r="S43" s="176">
        <f t="shared" si="5"/>
        <v>0</v>
      </c>
      <c r="T43" s="208" t="e">
        <f t="shared" si="6"/>
        <v>#DIV/0!</v>
      </c>
    </row>
    <row r="44" spans="1:20">
      <c r="A44" s="155" t="s">
        <v>14</v>
      </c>
      <c r="C44" s="155" t="s">
        <v>76</v>
      </c>
      <c r="G44" s="188"/>
      <c r="H44" s="217">
        <f>-(H53+H57)</f>
        <v>-23000</v>
      </c>
      <c r="I44" s="222"/>
      <c r="J44" s="216"/>
      <c r="K44" s="219"/>
      <c r="L44" s="212"/>
      <c r="M44" s="212"/>
      <c r="N44" s="188"/>
      <c r="O44" s="217">
        <f>-(42.2*22+1073*29.24+173*29.24)</f>
        <v>-37361.44</v>
      </c>
      <c r="P44" s="188"/>
      <c r="Q44" s="212"/>
      <c r="R44" s="216"/>
      <c r="S44" s="176"/>
      <c r="T44" s="208"/>
    </row>
    <row r="45" ht="21" spans="1:20">
      <c r="C45" s="164" t="s">
        <v>77</v>
      </c>
      <c r="D45" s="164"/>
      <c r="E45" s="164"/>
      <c r="F45" s="164"/>
      <c r="G45" s="188"/>
      <c r="H45" s="223">
        <f>H41+H42+H44</f>
        <v>1187027.98761062</v>
      </c>
      <c r="I45" s="188"/>
      <c r="J45" s="214"/>
      <c r="K45" s="219"/>
      <c r="L45" s="161"/>
      <c r="M45" s="161"/>
      <c r="N45" s="188"/>
      <c r="O45" s="223">
        <f>O41+O42+O44</f>
        <v>577399.86</v>
      </c>
      <c r="P45" s="188"/>
      <c r="Q45" s="224"/>
      <c r="R45" s="216"/>
      <c r="S45" s="176">
        <f t="shared" si="5"/>
        <v>609628.127610619</v>
      </c>
      <c r="T45" s="208">
        <f t="shared" si="6"/>
        <v>1.05581620267559</v>
      </c>
    </row>
    <row r="46" spans="1:20">
      <c r="G46" s="188"/>
      <c r="H46" s="200"/>
      <c r="I46" s="188"/>
      <c r="J46" s="216"/>
      <c r="K46" s="219"/>
      <c r="L46" s="212"/>
      <c r="M46" s="212"/>
      <c r="N46" s="188"/>
      <c r="O46" s="225"/>
      <c r="P46" s="226"/>
      <c r="Q46" s="212"/>
      <c r="R46" s="216"/>
      <c r="S46" s="176"/>
      <c r="T46" s="208"/>
    </row>
    <row r="47" spans="1:20">
      <c r="A47" s="227"/>
      <c r="B47" s="227"/>
      <c r="C47" s="220"/>
      <c r="D47" s="220"/>
      <c r="E47" s="220"/>
      <c r="F47" s="220"/>
      <c r="G47" s="221"/>
      <c r="H47" s="228"/>
      <c r="I47" s="221"/>
      <c r="J47" s="220"/>
      <c r="K47" s="229"/>
      <c r="L47" s="212"/>
      <c r="M47" s="212"/>
      <c r="N47" s="188"/>
      <c r="O47" s="225"/>
      <c r="P47" s="226"/>
      <c r="Q47" s="212"/>
      <c r="R47" s="220"/>
      <c r="S47" s="176"/>
      <c r="T47" s="208"/>
    </row>
    <row r="48" spans="1:20">
      <c r="C48" s="212"/>
      <c r="D48" s="212"/>
      <c r="E48" s="212"/>
      <c r="F48" s="212"/>
      <c r="G48" s="188"/>
      <c r="H48" s="200"/>
      <c r="I48" s="188"/>
      <c r="J48" s="212"/>
      <c r="K48" s="213"/>
      <c r="L48" s="212"/>
      <c r="M48" s="212"/>
      <c r="N48" s="188"/>
      <c r="O48" s="225"/>
      <c r="P48" s="226"/>
      <c r="Q48" s="212"/>
      <c r="R48" s="212"/>
      <c r="S48" s="176"/>
      <c r="T48" s="208"/>
    </row>
    <row r="49" ht="21" spans="1:21">
      <c r="A49" s="160">
        <v>3</v>
      </c>
      <c r="B49" s="161"/>
      <c r="C49" s="161" t="s">
        <v>24</v>
      </c>
      <c r="D49" s="161"/>
      <c r="E49" s="161"/>
      <c r="F49" s="161"/>
      <c r="G49" s="188"/>
      <c r="H49" s="200"/>
      <c r="I49" s="188"/>
      <c r="J49" s="224"/>
      <c r="K49" s="230"/>
      <c r="L49" s="212"/>
      <c r="M49" s="212"/>
      <c r="N49" s="188"/>
      <c r="O49" s="225"/>
      <c r="P49" s="226"/>
      <c r="Q49" s="212"/>
      <c r="R49" s="224"/>
      <c r="S49" s="176"/>
      <c r="T49" s="208"/>
    </row>
    <row r="50" ht="21" spans="1:21">
      <c r="A50" s="231"/>
      <c r="C50" s="212" t="s">
        <v>78</v>
      </c>
      <c r="D50" s="212"/>
      <c r="E50" s="212"/>
      <c r="F50" s="212"/>
      <c r="G50" s="188"/>
      <c r="H50" s="225">
        <v>25000</v>
      </c>
      <c r="I50" s="226">
        <f>H50/$H$17</f>
        <v>0.0113544990292235</v>
      </c>
      <c r="J50" s="212"/>
      <c r="K50" s="213"/>
      <c r="L50" s="212"/>
      <c r="M50" s="212"/>
      <c r="N50" s="188"/>
      <c r="O50" s="225">
        <f>12848+2369</f>
        <v>15217</v>
      </c>
      <c r="P50" s="226">
        <f>O50/$O$17</f>
        <v>0.0141718084369357</v>
      </c>
      <c r="Q50" s="212"/>
      <c r="R50" s="212"/>
      <c r="S50" s="176">
        <f t="shared" si="5"/>
        <v>9783</v>
      </c>
      <c r="T50" s="208">
        <f t="shared" si="6"/>
        <v>0.642899388841427</v>
      </c>
      <c r="U50" s="232"/>
    </row>
    <row r="51" ht="21" spans="1:21">
      <c r="A51" s="231"/>
      <c r="C51" s="212" t="s">
        <v>79</v>
      </c>
      <c r="D51" s="212"/>
      <c r="E51" s="212"/>
      <c r="F51" s="212"/>
      <c r="G51" s="188"/>
      <c r="H51" s="225">
        <v>650</v>
      </c>
      <c r="I51" s="226">
        <f t="shared" ref="I51:I60" si="11">H51/$H$17</f>
        <v>0.000295216974759811</v>
      </c>
      <c r="J51" s="212"/>
      <c r="K51" s="213"/>
      <c r="L51" s="212"/>
      <c r="M51" s="212"/>
      <c r="N51" s="188"/>
      <c r="O51" s="225"/>
      <c r="P51" s="226"/>
      <c r="Q51" s="212"/>
      <c r="R51" s="212"/>
      <c r="S51" s="176">
        <f t="shared" si="5"/>
        <v>650</v>
      </c>
      <c r="T51" s="208"/>
    </row>
    <row r="52" ht="21" spans="1:21">
      <c r="A52" s="231"/>
      <c r="C52" s="212" t="s">
        <v>80</v>
      </c>
      <c r="D52" s="212"/>
      <c r="E52" s="212"/>
      <c r="F52" s="212"/>
      <c r="G52" s="188"/>
      <c r="H52" s="225">
        <v>3000</v>
      </c>
      <c r="I52" s="226">
        <f t="shared" si="11"/>
        <v>0.00136253988350682</v>
      </c>
      <c r="J52" s="212"/>
      <c r="K52" s="213"/>
      <c r="L52" s="212"/>
      <c r="M52" s="212"/>
      <c r="N52" s="188"/>
      <c r="O52" s="225">
        <v>2133</v>
      </c>
      <c r="P52" s="226">
        <f t="shared" ref="P52:P60" si="12">O52/$O$17</f>
        <v>0.00198649322441899</v>
      </c>
      <c r="Q52" s="212"/>
      <c r="R52" s="212"/>
      <c r="S52" s="176">
        <f t="shared" si="5"/>
        <v>867</v>
      </c>
      <c r="T52" s="208">
        <f t="shared" si="6"/>
        <v>0.406469760900141</v>
      </c>
    </row>
    <row r="53" ht="21" spans="1:21">
      <c r="A53" s="231"/>
      <c r="C53" s="212" t="s">
        <v>81</v>
      </c>
      <c r="D53" s="212"/>
      <c r="E53" s="212"/>
      <c r="F53" s="212"/>
      <c r="G53" s="188"/>
      <c r="H53" s="225">
        <v>17000</v>
      </c>
      <c r="I53" s="226">
        <f t="shared" si="11"/>
        <v>0.00772105933987197</v>
      </c>
      <c r="J53" s="212"/>
      <c r="K53" s="213"/>
      <c r="L53" s="212"/>
      <c r="M53" s="212"/>
      <c r="N53" s="188"/>
      <c r="O53" s="225">
        <v>32303</v>
      </c>
      <c r="P53" s="226">
        <f t="shared" si="12"/>
        <v>0.0300842431450571</v>
      </c>
      <c r="Q53" s="212"/>
      <c r="R53" s="212"/>
      <c r="S53" s="176">
        <f t="shared" si="5"/>
        <v>-15303</v>
      </c>
      <c r="T53" s="208">
        <f t="shared" si="6"/>
        <v>-0.4737330898059</v>
      </c>
    </row>
    <row r="54" ht="21" spans="1:21">
      <c r="A54" s="231"/>
      <c r="C54" s="212" t="s">
        <v>82</v>
      </c>
      <c r="D54" s="212"/>
      <c r="E54" s="212"/>
      <c r="F54" s="212"/>
      <c r="G54" s="188"/>
      <c r="H54" s="225">
        <v>500</v>
      </c>
      <c r="I54" s="226">
        <f t="shared" si="11"/>
        <v>0.00022708998058447</v>
      </c>
      <c r="J54" s="212"/>
      <c r="K54" s="213"/>
      <c r="L54" s="212"/>
      <c r="M54" s="212"/>
      <c r="N54" s="188"/>
      <c r="O54" s="225"/>
      <c r="P54" s="226"/>
      <c r="Q54" s="212"/>
      <c r="R54" s="212"/>
      <c r="S54" s="176">
        <f t="shared" si="5"/>
        <v>500</v>
      </c>
      <c r="T54" s="208" t="e">
        <f t="shared" si="6"/>
        <v>#DIV/0!</v>
      </c>
    </row>
    <row r="55" ht="21" hidden="1" spans="1:21">
      <c r="A55" s="231"/>
      <c r="C55" s="212" t="s">
        <v>83</v>
      </c>
      <c r="D55" s="212"/>
      <c r="E55" s="212"/>
      <c r="F55" s="212"/>
      <c r="G55" s="188"/>
      <c r="H55" s="225"/>
      <c r="I55" s="226">
        <f t="shared" si="11"/>
        <v>0</v>
      </c>
      <c r="J55" s="212"/>
      <c r="K55" s="213"/>
      <c r="L55" s="209"/>
      <c r="M55" s="209"/>
      <c r="N55" s="188"/>
      <c r="O55" s="225"/>
      <c r="P55" s="226">
        <f t="shared" si="12"/>
        <v>0</v>
      </c>
      <c r="Q55" s="192"/>
      <c r="R55" s="212"/>
      <c r="S55" s="176">
        <f t="shared" si="5"/>
        <v>0</v>
      </c>
      <c r="T55" s="208" t="e">
        <f t="shared" si="6"/>
        <v>#DIV/0!</v>
      </c>
    </row>
    <row r="56" ht="21" spans="1:21">
      <c r="A56" s="231"/>
      <c r="C56" s="212" t="s">
        <v>84</v>
      </c>
      <c r="D56" s="212"/>
      <c r="E56" s="212"/>
      <c r="F56" s="212"/>
      <c r="G56" s="188"/>
      <c r="H56" s="225">
        <v>2600</v>
      </c>
      <c r="I56" s="226">
        <f t="shared" si="11"/>
        <v>0.00118086789903924</v>
      </c>
      <c r="J56" s="212"/>
      <c r="K56" s="213"/>
      <c r="L56" s="212"/>
      <c r="M56" s="212"/>
      <c r="N56" s="188"/>
      <c r="O56" s="225"/>
      <c r="P56" s="226"/>
      <c r="Q56" s="212"/>
      <c r="R56" s="212"/>
      <c r="S56" s="176">
        <f t="shared" si="5"/>
        <v>2600</v>
      </c>
      <c r="T56" s="208" t="e">
        <f t="shared" si="6"/>
        <v>#DIV/0!</v>
      </c>
    </row>
    <row r="57" ht="21" spans="1:21">
      <c r="A57" s="231"/>
      <c r="C57" s="212" t="s">
        <v>85</v>
      </c>
      <c r="D57" s="212"/>
      <c r="E57" s="212"/>
      <c r="F57" s="212"/>
      <c r="G57" s="188"/>
      <c r="H57" s="225">
        <v>6000</v>
      </c>
      <c r="I57" s="226">
        <f t="shared" si="11"/>
        <v>0.00272507976701364</v>
      </c>
      <c r="J57" s="212"/>
      <c r="K57" s="213"/>
      <c r="L57" s="212"/>
      <c r="M57" s="212"/>
      <c r="N57" s="188"/>
      <c r="O57" s="225">
        <v>5059</v>
      </c>
      <c r="P57" s="226">
        <f t="shared" si="12"/>
        <v>0.00471151862275466</v>
      </c>
      <c r="Q57" s="212"/>
      <c r="R57" s="212"/>
      <c r="S57" s="176">
        <f t="shared" si="5"/>
        <v>941</v>
      </c>
      <c r="T57" s="208">
        <f t="shared" si="6"/>
        <v>0.186005139355604</v>
      </c>
    </row>
    <row r="58" ht="21" spans="1:21">
      <c r="A58" s="231"/>
      <c r="C58" s="212" t="s">
        <v>86</v>
      </c>
      <c r="D58" s="212"/>
      <c r="E58" s="212"/>
      <c r="F58" s="212"/>
      <c r="G58" s="188"/>
      <c r="H58" s="176">
        <v>10000</v>
      </c>
      <c r="I58" s="226">
        <f t="shared" ref="I58" si="13">H58/$H$17</f>
        <v>0.0045417996116894</v>
      </c>
      <c r="J58" s="212"/>
      <c r="K58" s="213"/>
      <c r="L58" s="233"/>
      <c r="M58" s="233"/>
      <c r="N58" s="188"/>
      <c r="O58" s="176">
        <v>6471.08</v>
      </c>
      <c r="P58" s="226">
        <f t="shared" ref="P58" si="14">O58/$O$17</f>
        <v>0.0060266088020034</v>
      </c>
      <c r="Q58" s="192"/>
      <c r="R58" s="212"/>
      <c r="S58" s="176">
        <f t="shared" ref="S58" si="15">H58-O58</f>
        <v>3528.92</v>
      </c>
      <c r="T58" s="208">
        <f t="shared" ref="T58" si="16">S58/O58</f>
        <v>0.545337099834958</v>
      </c>
    </row>
    <row r="59" ht="21" spans="1:21">
      <c r="A59" s="231"/>
      <c r="C59" s="212" t="s">
        <v>99</v>
      </c>
      <c r="D59" s="212"/>
      <c r="E59" s="212"/>
      <c r="F59" s="212"/>
      <c r="G59" s="188"/>
      <c r="H59" s="176">
        <v>5000</v>
      </c>
      <c r="I59" s="226">
        <f t="shared" si="11"/>
        <v>0.0022708998058447</v>
      </c>
      <c r="J59" s="212"/>
      <c r="K59" s="213"/>
      <c r="L59" s="233"/>
      <c r="M59" s="233"/>
      <c r="N59" s="188"/>
      <c r="O59" s="234">
        <v>0</v>
      </c>
      <c r="P59" s="226">
        <f t="shared" si="12"/>
        <v>0</v>
      </c>
      <c r="Q59" s="192"/>
      <c r="R59" s="212"/>
      <c r="S59" s="176">
        <f t="shared" si="5"/>
        <v>5000</v>
      </c>
      <c r="T59" s="208" t="e">
        <f t="shared" si="6"/>
        <v>#DIV/0!</v>
      </c>
    </row>
    <row r="60" ht="18" spans="1:21">
      <c r="C60" s="209" t="s">
        <v>87</v>
      </c>
      <c r="D60" s="209"/>
      <c r="E60" s="209"/>
      <c r="F60" s="209"/>
      <c r="G60" s="188"/>
      <c r="H60" s="197">
        <f>SUM(H50:H59)</f>
        <v>69750</v>
      </c>
      <c r="I60" s="226">
        <f t="shared" si="11"/>
        <v>0.0316790522915335</v>
      </c>
      <c r="J60" s="192"/>
      <c r="K60" s="193"/>
      <c r="L60" s="233"/>
      <c r="M60" s="233"/>
      <c r="N60" s="188"/>
      <c r="O60" s="197">
        <f>SUM(O50:O59)</f>
        <v>61183.08</v>
      </c>
      <c r="P60" s="226">
        <f t="shared" si="12"/>
        <v>0.0569806722311698</v>
      </c>
      <c r="Q60" s="192"/>
      <c r="R60" s="192"/>
      <c r="S60" s="217">
        <f t="shared" si="5"/>
        <v>8566.92</v>
      </c>
      <c r="T60" s="235">
        <f t="shared" si="6"/>
        <v>0.140021064647285</v>
      </c>
    </row>
    <row r="61" spans="1:21">
      <c r="C61" s="212"/>
      <c r="D61" s="212"/>
      <c r="E61" s="212"/>
      <c r="F61" s="212"/>
      <c r="G61" s="188"/>
      <c r="H61" s="200"/>
      <c r="I61" s="188"/>
      <c r="J61" s="212"/>
      <c r="K61" s="213"/>
      <c r="L61" s="212"/>
      <c r="M61" s="212"/>
      <c r="N61" s="188"/>
      <c r="O61" s="200"/>
      <c r="P61" s="188"/>
      <c r="Q61" s="212"/>
      <c r="R61" s="212"/>
      <c r="S61" s="200"/>
      <c r="T61" s="200"/>
    </row>
    <row r="62" ht="15.75" customHeight="1" spans="1:21">
      <c r="A62" s="231"/>
      <c r="C62" s="212"/>
      <c r="D62" s="212"/>
      <c r="E62" s="212"/>
      <c r="F62" s="212"/>
      <c r="G62" s="188"/>
      <c r="H62" s="191"/>
      <c r="I62" s="188"/>
      <c r="J62" s="212"/>
      <c r="K62" s="213"/>
      <c r="L62" s="161"/>
      <c r="M62" s="161"/>
      <c r="N62" s="236"/>
      <c r="O62" s="191"/>
      <c r="P62" s="188"/>
      <c r="Q62" s="164"/>
      <c r="R62" s="212"/>
      <c r="S62" s="191"/>
      <c r="T62" s="191"/>
    </row>
    <row r="63" ht="18" spans="1:21">
      <c r="C63" s="233" t="s">
        <v>88</v>
      </c>
      <c r="D63" s="233"/>
      <c r="E63" s="233"/>
      <c r="F63" s="233"/>
      <c r="G63" s="188"/>
      <c r="H63" s="237">
        <f>H45+H60</f>
        <v>1256777.98761062</v>
      </c>
      <c r="I63" s="188"/>
      <c r="J63" s="192"/>
      <c r="K63" s="193"/>
      <c r="L63" s="238"/>
      <c r="M63" s="238"/>
      <c r="N63" s="236"/>
      <c r="O63" s="237">
        <f>O45+O60</f>
        <v>638582.94</v>
      </c>
      <c r="P63" s="188"/>
      <c r="Q63" s="238"/>
      <c r="R63" s="192"/>
      <c r="S63" s="237">
        <f>H63-O63</f>
        <v>618195.047610619</v>
      </c>
      <c r="T63" s="239">
        <f>S63/O63</f>
        <v>0.968073227278228</v>
      </c>
    </row>
    <row r="64" ht="18" spans="1:21">
      <c r="C64" s="233"/>
      <c r="D64" s="233"/>
      <c r="E64" s="233"/>
      <c r="F64" s="233"/>
      <c r="G64" s="188"/>
      <c r="H64" s="237"/>
      <c r="I64" s="188"/>
      <c r="J64" s="192"/>
      <c r="K64" s="193"/>
      <c r="L64" s="238"/>
      <c r="M64" s="238"/>
      <c r="N64" s="236"/>
      <c r="O64" s="237"/>
      <c r="P64" s="188"/>
      <c r="Q64" s="238"/>
      <c r="R64" s="192"/>
      <c r="S64" s="237"/>
      <c r="T64" s="239"/>
    </row>
    <row r="65" spans="3:20">
      <c r="C65" s="212" t="s">
        <v>89</v>
      </c>
      <c r="D65" s="212"/>
      <c r="E65" s="212"/>
      <c r="F65" s="212"/>
      <c r="G65" s="188"/>
      <c r="H65" s="200">
        <f>(H16+H394)*0.12</f>
        <v>34347.610619469</v>
      </c>
      <c r="I65" s="188"/>
      <c r="J65" s="212"/>
      <c r="K65" s="213"/>
      <c r="L65" s="240"/>
      <c r="M65" s="212"/>
      <c r="N65" s="188"/>
      <c r="O65" s="200">
        <v>16053</v>
      </c>
      <c r="P65" s="188"/>
      <c r="Q65" s="212"/>
      <c r="R65" s="212"/>
      <c r="S65" s="200"/>
      <c r="T65" s="200"/>
    </row>
    <row r="66" ht="21.75" spans="3:20">
      <c r="C66" s="161" t="s">
        <v>90</v>
      </c>
      <c r="D66" s="161"/>
      <c r="E66" s="161"/>
      <c r="F66" s="161"/>
      <c r="G66" s="236"/>
      <c r="H66" s="241">
        <f>H17-H63-H65</f>
        <v>910644.813274336</v>
      </c>
      <c r="I66" s="236"/>
      <c r="J66" s="164"/>
      <c r="K66" s="242"/>
      <c r="L66" s="243"/>
      <c r="M66" s="161"/>
      <c r="N66" s="236"/>
      <c r="O66" s="241">
        <f>O17-O63-O65</f>
        <v>419115.52</v>
      </c>
      <c r="P66" s="236"/>
      <c r="Q66" s="164"/>
      <c r="R66" s="164"/>
      <c r="S66" s="241">
        <f>H66-O66</f>
        <v>491529.293274337</v>
      </c>
      <c r="T66" s="235">
        <f>S66/O66</f>
        <v>1.17277759905989</v>
      </c>
    </row>
    <row r="67" ht="21.6" customHeight="1" spans="3:20">
      <c r="C67" s="238" t="s">
        <v>31</v>
      </c>
      <c r="D67" s="238"/>
      <c r="E67" s="238"/>
      <c r="F67" s="238"/>
      <c r="G67" s="236"/>
      <c r="H67" s="244">
        <f>H66/H17</f>
        <v>0.413596625931634</v>
      </c>
      <c r="I67" s="236"/>
      <c r="J67" s="238"/>
      <c r="K67" s="245"/>
      <c r="L67" s="246"/>
      <c r="M67" s="238"/>
      <c r="N67" s="236"/>
      <c r="O67" s="244">
        <f>O66/O17</f>
        <v>0.390328242254497</v>
      </c>
      <c r="P67" s="236"/>
      <c r="Q67" s="238"/>
      <c r="R67" s="238"/>
      <c r="S67" s="247"/>
      <c r="T67" s="248"/>
    </row>
    <row r="68" spans="3:20">
      <c r="G68" s="188"/>
      <c r="I68" s="188"/>
      <c r="K68" s="201"/>
      <c r="L68" s="202"/>
      <c r="N68" s="188"/>
      <c r="P68" s="188"/>
    </row>
  </sheetData>
  <mergeCells count="3">
    <mergeCell ref="E5:J5"/>
    <mergeCell ref="L5:Q5"/>
    <mergeCell ref="S5:T5"/>
  </mergeCells>
  <printOptions horizontalCentered="1"/>
  <pageMargins left="0.708661417322835" right="0.708661417322835" top="0.196850393700787" bottom="0.196850393700787" header="0.31496062992126" footer="0.31496062992126"/>
  <pageSetup paperSize="9" scale="5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7"/>
  <sheetViews>
    <sheetView tabSelected="1" workbookViewId="0">
      <selection activeCell="N4" sqref="N4"/>
    </sheetView>
  </sheetViews>
  <sheetFormatPr defaultColWidth="9" defaultRowHeight="30" customHeight="1" outlineLevelRow="6"/>
  <cols>
    <col min="1" max="1" width="5.62962962962963" style="141" customWidth="1"/>
    <col min="2" max="2" width="12.1296296296296" style="141" customWidth="1"/>
    <col min="3" max="3" width="42.25" style="141" customWidth="1"/>
    <col min="4" max="4" width="33" style="141" customWidth="1"/>
    <col min="5" max="5" width="9.62962962962963" style="141" customWidth="1"/>
    <col min="6" max="7" width="10.5" style="142" customWidth="1"/>
    <col min="8" max="8" width="12.1296296296296" style="142" customWidth="1"/>
    <col min="9" max="9" width="15.25" style="142" customWidth="1"/>
    <col min="10" max="250" width="9" style="141"/>
    <col min="251" max="251" width="17.1296296296296" style="141" customWidth="1"/>
    <col min="252" max="252" width="29.25" style="141" customWidth="1"/>
    <col min="253" max="254" width="12.6296296296296" style="141" customWidth="1"/>
    <col min="255" max="256" width="15.6296296296296" style="141" customWidth="1"/>
    <col min="257" max="257" width="7" style="141" customWidth="1"/>
    <col min="258" max="258" width="9" style="141" hidden="1" customWidth="1"/>
    <col min="259" max="506" width="9" style="141"/>
    <col min="507" max="507" width="17.1296296296296" style="141" customWidth="1"/>
    <col min="508" max="508" width="29.25" style="141" customWidth="1"/>
    <col min="509" max="510" width="12.6296296296296" style="141" customWidth="1"/>
    <col min="511" max="512" width="15.6296296296296" style="141" customWidth="1"/>
    <col min="513" max="513" width="7" style="141" customWidth="1"/>
    <col min="514" max="514" width="9" style="141" hidden="1" customWidth="1"/>
    <col min="515" max="762" width="9" style="141"/>
    <col min="763" max="763" width="17.1296296296296" style="141" customWidth="1"/>
    <col min="764" max="764" width="29.25" style="141" customWidth="1"/>
    <col min="765" max="766" width="12.6296296296296" style="141" customWidth="1"/>
    <col min="767" max="768" width="15.6296296296296" style="141" customWidth="1"/>
    <col min="769" max="769" width="7" style="141" customWidth="1"/>
    <col min="770" max="770" width="9" style="141" hidden="1" customWidth="1"/>
    <col min="771" max="1018" width="9" style="141"/>
    <col min="1019" max="1019" width="17.1296296296296" style="141" customWidth="1"/>
    <col min="1020" max="1020" width="29.25" style="141" customWidth="1"/>
    <col min="1021" max="1022" width="12.6296296296296" style="141" customWidth="1"/>
    <col min="1023" max="1024" width="15.6296296296296" style="141" customWidth="1"/>
    <col min="1025" max="1025" width="7" style="141" customWidth="1"/>
    <col min="1026" max="1026" width="9" style="141" hidden="1" customWidth="1"/>
    <col min="1027" max="1274" width="9" style="141"/>
    <col min="1275" max="1275" width="17.1296296296296" style="141" customWidth="1"/>
    <col min="1276" max="1276" width="29.25" style="141" customWidth="1"/>
    <col min="1277" max="1278" width="12.6296296296296" style="141" customWidth="1"/>
    <col min="1279" max="1280" width="15.6296296296296" style="141" customWidth="1"/>
    <col min="1281" max="1281" width="7" style="141" customWidth="1"/>
    <col min="1282" max="1282" width="9" style="141" hidden="1" customWidth="1"/>
    <col min="1283" max="1530" width="9" style="141"/>
    <col min="1531" max="1531" width="17.1296296296296" style="141" customWidth="1"/>
    <col min="1532" max="1532" width="29.25" style="141" customWidth="1"/>
    <col min="1533" max="1534" width="12.6296296296296" style="141" customWidth="1"/>
    <col min="1535" max="1536" width="15.6296296296296" style="141" customWidth="1"/>
    <col min="1537" max="1537" width="7" style="141" customWidth="1"/>
    <col min="1538" max="1538" width="9" style="141" hidden="1" customWidth="1"/>
    <col min="1539" max="1786" width="9" style="141"/>
    <col min="1787" max="1787" width="17.1296296296296" style="141" customWidth="1"/>
    <col min="1788" max="1788" width="29.25" style="141" customWidth="1"/>
    <col min="1789" max="1790" width="12.6296296296296" style="141" customWidth="1"/>
    <col min="1791" max="1792" width="15.6296296296296" style="141" customWidth="1"/>
    <col min="1793" max="1793" width="7" style="141" customWidth="1"/>
    <col min="1794" max="1794" width="9" style="141" hidden="1" customWidth="1"/>
    <col min="1795" max="2042" width="9" style="141"/>
    <col min="2043" max="2043" width="17.1296296296296" style="141" customWidth="1"/>
    <col min="2044" max="2044" width="29.25" style="141" customWidth="1"/>
    <col min="2045" max="2046" width="12.6296296296296" style="141" customWidth="1"/>
    <col min="2047" max="2048" width="15.6296296296296" style="141" customWidth="1"/>
    <col min="2049" max="2049" width="7" style="141" customWidth="1"/>
    <col min="2050" max="2050" width="9" style="141" hidden="1" customWidth="1"/>
    <col min="2051" max="2298" width="9" style="141"/>
    <col min="2299" max="2299" width="17.1296296296296" style="141" customWidth="1"/>
    <col min="2300" max="2300" width="29.25" style="141" customWidth="1"/>
    <col min="2301" max="2302" width="12.6296296296296" style="141" customWidth="1"/>
    <col min="2303" max="2304" width="15.6296296296296" style="141" customWidth="1"/>
    <col min="2305" max="2305" width="7" style="141" customWidth="1"/>
    <col min="2306" max="2306" width="9" style="141" hidden="1" customWidth="1"/>
    <col min="2307" max="2554" width="9" style="141"/>
    <col min="2555" max="2555" width="17.1296296296296" style="141" customWidth="1"/>
    <col min="2556" max="2556" width="29.25" style="141" customWidth="1"/>
    <col min="2557" max="2558" width="12.6296296296296" style="141" customWidth="1"/>
    <col min="2559" max="2560" width="15.6296296296296" style="141" customWidth="1"/>
    <col min="2561" max="2561" width="7" style="141" customWidth="1"/>
    <col min="2562" max="2562" width="9" style="141" hidden="1" customWidth="1"/>
    <col min="2563" max="2810" width="9" style="141"/>
    <col min="2811" max="2811" width="17.1296296296296" style="141" customWidth="1"/>
    <col min="2812" max="2812" width="29.25" style="141" customWidth="1"/>
    <col min="2813" max="2814" width="12.6296296296296" style="141" customWidth="1"/>
    <col min="2815" max="2816" width="15.6296296296296" style="141" customWidth="1"/>
    <col min="2817" max="2817" width="7" style="141" customWidth="1"/>
    <col min="2818" max="2818" width="9" style="141" hidden="1" customWidth="1"/>
    <col min="2819" max="3066" width="9" style="141"/>
    <col min="3067" max="3067" width="17.1296296296296" style="141" customWidth="1"/>
    <col min="3068" max="3068" width="29.25" style="141" customWidth="1"/>
    <col min="3069" max="3070" width="12.6296296296296" style="141" customWidth="1"/>
    <col min="3071" max="3072" width="15.6296296296296" style="141" customWidth="1"/>
    <col min="3073" max="3073" width="7" style="141" customWidth="1"/>
    <col min="3074" max="3074" width="9" style="141" hidden="1" customWidth="1"/>
    <col min="3075" max="3322" width="9" style="141"/>
    <col min="3323" max="3323" width="17.1296296296296" style="141" customWidth="1"/>
    <col min="3324" max="3324" width="29.25" style="141" customWidth="1"/>
    <col min="3325" max="3326" width="12.6296296296296" style="141" customWidth="1"/>
    <col min="3327" max="3328" width="15.6296296296296" style="141" customWidth="1"/>
    <col min="3329" max="3329" width="7" style="141" customWidth="1"/>
    <col min="3330" max="3330" width="9" style="141" hidden="1" customWidth="1"/>
    <col min="3331" max="3578" width="9" style="141"/>
    <col min="3579" max="3579" width="17.1296296296296" style="141" customWidth="1"/>
    <col min="3580" max="3580" width="29.25" style="141" customWidth="1"/>
    <col min="3581" max="3582" width="12.6296296296296" style="141" customWidth="1"/>
    <col min="3583" max="3584" width="15.6296296296296" style="141" customWidth="1"/>
    <col min="3585" max="3585" width="7" style="141" customWidth="1"/>
    <col min="3586" max="3586" width="9" style="141" hidden="1" customWidth="1"/>
    <col min="3587" max="3834" width="9" style="141"/>
    <col min="3835" max="3835" width="17.1296296296296" style="141" customWidth="1"/>
    <col min="3836" max="3836" width="29.25" style="141" customWidth="1"/>
    <col min="3837" max="3838" width="12.6296296296296" style="141" customWidth="1"/>
    <col min="3839" max="3840" width="15.6296296296296" style="141" customWidth="1"/>
    <col min="3841" max="3841" width="7" style="141" customWidth="1"/>
    <col min="3842" max="3842" width="9" style="141" hidden="1" customWidth="1"/>
    <col min="3843" max="4090" width="9" style="141"/>
    <col min="4091" max="4091" width="17.1296296296296" style="141" customWidth="1"/>
    <col min="4092" max="4092" width="29.25" style="141" customWidth="1"/>
    <col min="4093" max="4094" width="12.6296296296296" style="141" customWidth="1"/>
    <col min="4095" max="4096" width="15.6296296296296" style="141" customWidth="1"/>
    <col min="4097" max="4097" width="7" style="141" customWidth="1"/>
    <col min="4098" max="4098" width="9" style="141" hidden="1" customWidth="1"/>
    <col min="4099" max="4346" width="9" style="141"/>
    <col min="4347" max="4347" width="17.1296296296296" style="141" customWidth="1"/>
    <col min="4348" max="4348" width="29.25" style="141" customWidth="1"/>
    <col min="4349" max="4350" width="12.6296296296296" style="141" customWidth="1"/>
    <col min="4351" max="4352" width="15.6296296296296" style="141" customWidth="1"/>
    <col min="4353" max="4353" width="7" style="141" customWidth="1"/>
    <col min="4354" max="4354" width="9" style="141" hidden="1" customWidth="1"/>
    <col min="4355" max="4602" width="9" style="141"/>
    <col min="4603" max="4603" width="17.1296296296296" style="141" customWidth="1"/>
    <col min="4604" max="4604" width="29.25" style="141" customWidth="1"/>
    <col min="4605" max="4606" width="12.6296296296296" style="141" customWidth="1"/>
    <col min="4607" max="4608" width="15.6296296296296" style="141" customWidth="1"/>
    <col min="4609" max="4609" width="7" style="141" customWidth="1"/>
    <col min="4610" max="4610" width="9" style="141" hidden="1" customWidth="1"/>
    <col min="4611" max="4858" width="9" style="141"/>
    <col min="4859" max="4859" width="17.1296296296296" style="141" customWidth="1"/>
    <col min="4860" max="4860" width="29.25" style="141" customWidth="1"/>
    <col min="4861" max="4862" width="12.6296296296296" style="141" customWidth="1"/>
    <col min="4863" max="4864" width="15.6296296296296" style="141" customWidth="1"/>
    <col min="4865" max="4865" width="7" style="141" customWidth="1"/>
    <col min="4866" max="4866" width="9" style="141" hidden="1" customWidth="1"/>
    <col min="4867" max="5114" width="9" style="141"/>
    <col min="5115" max="5115" width="17.1296296296296" style="141" customWidth="1"/>
    <col min="5116" max="5116" width="29.25" style="141" customWidth="1"/>
    <col min="5117" max="5118" width="12.6296296296296" style="141" customWidth="1"/>
    <col min="5119" max="5120" width="15.6296296296296" style="141" customWidth="1"/>
    <col min="5121" max="5121" width="7" style="141" customWidth="1"/>
    <col min="5122" max="5122" width="9" style="141" hidden="1" customWidth="1"/>
    <col min="5123" max="5370" width="9" style="141"/>
    <col min="5371" max="5371" width="17.1296296296296" style="141" customWidth="1"/>
    <col min="5372" max="5372" width="29.25" style="141" customWidth="1"/>
    <col min="5373" max="5374" width="12.6296296296296" style="141" customWidth="1"/>
    <col min="5375" max="5376" width="15.6296296296296" style="141" customWidth="1"/>
    <col min="5377" max="5377" width="7" style="141" customWidth="1"/>
    <col min="5378" max="5378" width="9" style="141" hidden="1" customWidth="1"/>
    <col min="5379" max="5626" width="9" style="141"/>
    <col min="5627" max="5627" width="17.1296296296296" style="141" customWidth="1"/>
    <col min="5628" max="5628" width="29.25" style="141" customWidth="1"/>
    <col min="5629" max="5630" width="12.6296296296296" style="141" customWidth="1"/>
    <col min="5631" max="5632" width="15.6296296296296" style="141" customWidth="1"/>
    <col min="5633" max="5633" width="7" style="141" customWidth="1"/>
    <col min="5634" max="5634" width="9" style="141" hidden="1" customWidth="1"/>
    <col min="5635" max="5882" width="9" style="141"/>
    <col min="5883" max="5883" width="17.1296296296296" style="141" customWidth="1"/>
    <col min="5884" max="5884" width="29.25" style="141" customWidth="1"/>
    <col min="5885" max="5886" width="12.6296296296296" style="141" customWidth="1"/>
    <col min="5887" max="5888" width="15.6296296296296" style="141" customWidth="1"/>
    <col min="5889" max="5889" width="7" style="141" customWidth="1"/>
    <col min="5890" max="5890" width="9" style="141" hidden="1" customWidth="1"/>
    <col min="5891" max="6138" width="9" style="141"/>
    <col min="6139" max="6139" width="17.1296296296296" style="141" customWidth="1"/>
    <col min="6140" max="6140" width="29.25" style="141" customWidth="1"/>
    <col min="6141" max="6142" width="12.6296296296296" style="141" customWidth="1"/>
    <col min="6143" max="6144" width="15.6296296296296" style="141" customWidth="1"/>
    <col min="6145" max="6145" width="7" style="141" customWidth="1"/>
    <col min="6146" max="6146" width="9" style="141" hidden="1" customWidth="1"/>
    <col min="6147" max="6394" width="9" style="141"/>
    <col min="6395" max="6395" width="17.1296296296296" style="141" customWidth="1"/>
    <col min="6396" max="6396" width="29.25" style="141" customWidth="1"/>
    <col min="6397" max="6398" width="12.6296296296296" style="141" customWidth="1"/>
    <col min="6399" max="6400" width="15.6296296296296" style="141" customWidth="1"/>
    <col min="6401" max="6401" width="7" style="141" customWidth="1"/>
    <col min="6402" max="6402" width="9" style="141" hidden="1" customWidth="1"/>
    <col min="6403" max="6650" width="9" style="141"/>
    <col min="6651" max="6651" width="17.1296296296296" style="141" customWidth="1"/>
    <col min="6652" max="6652" width="29.25" style="141" customWidth="1"/>
    <col min="6653" max="6654" width="12.6296296296296" style="141" customWidth="1"/>
    <col min="6655" max="6656" width="15.6296296296296" style="141" customWidth="1"/>
    <col min="6657" max="6657" width="7" style="141" customWidth="1"/>
    <col min="6658" max="6658" width="9" style="141" hidden="1" customWidth="1"/>
    <col min="6659" max="6906" width="9" style="141"/>
    <col min="6907" max="6907" width="17.1296296296296" style="141" customWidth="1"/>
    <col min="6908" max="6908" width="29.25" style="141" customWidth="1"/>
    <col min="6909" max="6910" width="12.6296296296296" style="141" customWidth="1"/>
    <col min="6911" max="6912" width="15.6296296296296" style="141" customWidth="1"/>
    <col min="6913" max="6913" width="7" style="141" customWidth="1"/>
    <col min="6914" max="6914" width="9" style="141" hidden="1" customWidth="1"/>
    <col min="6915" max="7162" width="9" style="141"/>
    <col min="7163" max="7163" width="17.1296296296296" style="141" customWidth="1"/>
    <col min="7164" max="7164" width="29.25" style="141" customWidth="1"/>
    <col min="7165" max="7166" width="12.6296296296296" style="141" customWidth="1"/>
    <col min="7167" max="7168" width="15.6296296296296" style="141" customWidth="1"/>
    <col min="7169" max="7169" width="7" style="141" customWidth="1"/>
    <col min="7170" max="7170" width="9" style="141" hidden="1" customWidth="1"/>
    <col min="7171" max="7418" width="9" style="141"/>
    <col min="7419" max="7419" width="17.1296296296296" style="141" customWidth="1"/>
    <col min="7420" max="7420" width="29.25" style="141" customWidth="1"/>
    <col min="7421" max="7422" width="12.6296296296296" style="141" customWidth="1"/>
    <col min="7423" max="7424" width="15.6296296296296" style="141" customWidth="1"/>
    <col min="7425" max="7425" width="7" style="141" customWidth="1"/>
    <col min="7426" max="7426" width="9" style="141" hidden="1" customWidth="1"/>
    <col min="7427" max="7674" width="9" style="141"/>
    <col min="7675" max="7675" width="17.1296296296296" style="141" customWidth="1"/>
    <col min="7676" max="7676" width="29.25" style="141" customWidth="1"/>
    <col min="7677" max="7678" width="12.6296296296296" style="141" customWidth="1"/>
    <col min="7679" max="7680" width="15.6296296296296" style="141" customWidth="1"/>
    <col min="7681" max="7681" width="7" style="141" customWidth="1"/>
    <col min="7682" max="7682" width="9" style="141" hidden="1" customWidth="1"/>
    <col min="7683" max="7930" width="9" style="141"/>
    <col min="7931" max="7931" width="17.1296296296296" style="141" customWidth="1"/>
    <col min="7932" max="7932" width="29.25" style="141" customWidth="1"/>
    <col min="7933" max="7934" width="12.6296296296296" style="141" customWidth="1"/>
    <col min="7935" max="7936" width="15.6296296296296" style="141" customWidth="1"/>
    <col min="7937" max="7937" width="7" style="141" customWidth="1"/>
    <col min="7938" max="7938" width="9" style="141" hidden="1" customWidth="1"/>
    <col min="7939" max="8186" width="9" style="141"/>
    <col min="8187" max="8187" width="17.1296296296296" style="141" customWidth="1"/>
    <col min="8188" max="8188" width="29.25" style="141" customWidth="1"/>
    <col min="8189" max="8190" width="12.6296296296296" style="141" customWidth="1"/>
    <col min="8191" max="8192" width="15.6296296296296" style="141" customWidth="1"/>
    <col min="8193" max="8193" width="7" style="141" customWidth="1"/>
    <col min="8194" max="8194" width="9" style="141" hidden="1" customWidth="1"/>
    <col min="8195" max="8442" width="9" style="141"/>
    <col min="8443" max="8443" width="17.1296296296296" style="141" customWidth="1"/>
    <col min="8444" max="8444" width="29.25" style="141" customWidth="1"/>
    <col min="8445" max="8446" width="12.6296296296296" style="141" customWidth="1"/>
    <col min="8447" max="8448" width="15.6296296296296" style="141" customWidth="1"/>
    <col min="8449" max="8449" width="7" style="141" customWidth="1"/>
    <col min="8450" max="8450" width="9" style="141" hidden="1" customWidth="1"/>
    <col min="8451" max="8698" width="9" style="141"/>
    <col min="8699" max="8699" width="17.1296296296296" style="141" customWidth="1"/>
    <col min="8700" max="8700" width="29.25" style="141" customWidth="1"/>
    <col min="8701" max="8702" width="12.6296296296296" style="141" customWidth="1"/>
    <col min="8703" max="8704" width="15.6296296296296" style="141" customWidth="1"/>
    <col min="8705" max="8705" width="7" style="141" customWidth="1"/>
    <col min="8706" max="8706" width="9" style="141" hidden="1" customWidth="1"/>
    <col min="8707" max="8954" width="9" style="141"/>
    <col min="8955" max="8955" width="17.1296296296296" style="141" customWidth="1"/>
    <col min="8956" max="8956" width="29.25" style="141" customWidth="1"/>
    <col min="8957" max="8958" width="12.6296296296296" style="141" customWidth="1"/>
    <col min="8959" max="8960" width="15.6296296296296" style="141" customWidth="1"/>
    <col min="8961" max="8961" width="7" style="141" customWidth="1"/>
    <col min="8962" max="8962" width="9" style="141" hidden="1" customWidth="1"/>
    <col min="8963" max="9210" width="9" style="141"/>
    <col min="9211" max="9211" width="17.1296296296296" style="141" customWidth="1"/>
    <col min="9212" max="9212" width="29.25" style="141" customWidth="1"/>
    <col min="9213" max="9214" width="12.6296296296296" style="141" customWidth="1"/>
    <col min="9215" max="9216" width="15.6296296296296" style="141" customWidth="1"/>
    <col min="9217" max="9217" width="7" style="141" customWidth="1"/>
    <col min="9218" max="9218" width="9" style="141" hidden="1" customWidth="1"/>
    <col min="9219" max="9466" width="9" style="141"/>
    <col min="9467" max="9467" width="17.1296296296296" style="141" customWidth="1"/>
    <col min="9468" max="9468" width="29.25" style="141" customWidth="1"/>
    <col min="9469" max="9470" width="12.6296296296296" style="141" customWidth="1"/>
    <col min="9471" max="9472" width="15.6296296296296" style="141" customWidth="1"/>
    <col min="9473" max="9473" width="7" style="141" customWidth="1"/>
    <col min="9474" max="9474" width="9" style="141" hidden="1" customWidth="1"/>
    <col min="9475" max="9722" width="9" style="141"/>
    <col min="9723" max="9723" width="17.1296296296296" style="141" customWidth="1"/>
    <col min="9724" max="9724" width="29.25" style="141" customWidth="1"/>
    <col min="9725" max="9726" width="12.6296296296296" style="141" customWidth="1"/>
    <col min="9727" max="9728" width="15.6296296296296" style="141" customWidth="1"/>
    <col min="9729" max="9729" width="7" style="141" customWidth="1"/>
    <col min="9730" max="9730" width="9" style="141" hidden="1" customWidth="1"/>
    <col min="9731" max="9978" width="9" style="141"/>
    <col min="9979" max="9979" width="17.1296296296296" style="141" customWidth="1"/>
    <col min="9980" max="9980" width="29.25" style="141" customWidth="1"/>
    <col min="9981" max="9982" width="12.6296296296296" style="141" customWidth="1"/>
    <col min="9983" max="9984" width="15.6296296296296" style="141" customWidth="1"/>
    <col min="9985" max="9985" width="7" style="141" customWidth="1"/>
    <col min="9986" max="9986" width="9" style="141" hidden="1" customWidth="1"/>
    <col min="9987" max="10234" width="9" style="141"/>
    <col min="10235" max="10235" width="17.1296296296296" style="141" customWidth="1"/>
    <col min="10236" max="10236" width="29.25" style="141" customWidth="1"/>
    <col min="10237" max="10238" width="12.6296296296296" style="141" customWidth="1"/>
    <col min="10239" max="10240" width="15.6296296296296" style="141" customWidth="1"/>
    <col min="10241" max="10241" width="7" style="141" customWidth="1"/>
    <col min="10242" max="10242" width="9" style="141" hidden="1" customWidth="1"/>
    <col min="10243" max="10490" width="9" style="141"/>
    <col min="10491" max="10491" width="17.1296296296296" style="141" customWidth="1"/>
    <col min="10492" max="10492" width="29.25" style="141" customWidth="1"/>
    <col min="10493" max="10494" width="12.6296296296296" style="141" customWidth="1"/>
    <col min="10495" max="10496" width="15.6296296296296" style="141" customWidth="1"/>
    <col min="10497" max="10497" width="7" style="141" customWidth="1"/>
    <col min="10498" max="10498" width="9" style="141" hidden="1" customWidth="1"/>
    <col min="10499" max="10746" width="9" style="141"/>
    <col min="10747" max="10747" width="17.1296296296296" style="141" customWidth="1"/>
    <col min="10748" max="10748" width="29.25" style="141" customWidth="1"/>
    <col min="10749" max="10750" width="12.6296296296296" style="141" customWidth="1"/>
    <col min="10751" max="10752" width="15.6296296296296" style="141" customWidth="1"/>
    <col min="10753" max="10753" width="7" style="141" customWidth="1"/>
    <col min="10754" max="10754" width="9" style="141" hidden="1" customWidth="1"/>
    <col min="10755" max="11002" width="9" style="141"/>
    <col min="11003" max="11003" width="17.1296296296296" style="141" customWidth="1"/>
    <col min="11004" max="11004" width="29.25" style="141" customWidth="1"/>
    <col min="11005" max="11006" width="12.6296296296296" style="141" customWidth="1"/>
    <col min="11007" max="11008" width="15.6296296296296" style="141" customWidth="1"/>
    <col min="11009" max="11009" width="7" style="141" customWidth="1"/>
    <col min="11010" max="11010" width="9" style="141" hidden="1" customWidth="1"/>
    <col min="11011" max="11258" width="9" style="141"/>
    <col min="11259" max="11259" width="17.1296296296296" style="141" customWidth="1"/>
    <col min="11260" max="11260" width="29.25" style="141" customWidth="1"/>
    <col min="11261" max="11262" width="12.6296296296296" style="141" customWidth="1"/>
    <col min="11263" max="11264" width="15.6296296296296" style="141" customWidth="1"/>
    <col min="11265" max="11265" width="7" style="141" customWidth="1"/>
    <col min="11266" max="11266" width="9" style="141" hidden="1" customWidth="1"/>
    <col min="11267" max="11514" width="9" style="141"/>
    <col min="11515" max="11515" width="17.1296296296296" style="141" customWidth="1"/>
    <col min="11516" max="11516" width="29.25" style="141" customWidth="1"/>
    <col min="11517" max="11518" width="12.6296296296296" style="141" customWidth="1"/>
    <col min="11519" max="11520" width="15.6296296296296" style="141" customWidth="1"/>
    <col min="11521" max="11521" width="7" style="141" customWidth="1"/>
    <col min="11522" max="11522" width="9" style="141" hidden="1" customWidth="1"/>
    <col min="11523" max="11770" width="9" style="141"/>
    <col min="11771" max="11771" width="17.1296296296296" style="141" customWidth="1"/>
    <col min="11772" max="11772" width="29.25" style="141" customWidth="1"/>
    <col min="11773" max="11774" width="12.6296296296296" style="141" customWidth="1"/>
    <col min="11775" max="11776" width="15.6296296296296" style="141" customWidth="1"/>
    <col min="11777" max="11777" width="7" style="141" customWidth="1"/>
    <col min="11778" max="11778" width="9" style="141" hidden="1" customWidth="1"/>
    <col min="11779" max="12026" width="9" style="141"/>
    <col min="12027" max="12027" width="17.1296296296296" style="141" customWidth="1"/>
    <col min="12028" max="12028" width="29.25" style="141" customWidth="1"/>
    <col min="12029" max="12030" width="12.6296296296296" style="141" customWidth="1"/>
    <col min="12031" max="12032" width="15.6296296296296" style="141" customWidth="1"/>
    <col min="12033" max="12033" width="7" style="141" customWidth="1"/>
    <col min="12034" max="12034" width="9" style="141" hidden="1" customWidth="1"/>
    <col min="12035" max="12282" width="9" style="141"/>
    <col min="12283" max="12283" width="17.1296296296296" style="141" customWidth="1"/>
    <col min="12284" max="12284" width="29.25" style="141" customWidth="1"/>
    <col min="12285" max="12286" width="12.6296296296296" style="141" customWidth="1"/>
    <col min="12287" max="12288" width="15.6296296296296" style="141" customWidth="1"/>
    <col min="12289" max="12289" width="7" style="141" customWidth="1"/>
    <col min="12290" max="12290" width="9" style="141" hidden="1" customWidth="1"/>
    <col min="12291" max="12538" width="9" style="141"/>
    <col min="12539" max="12539" width="17.1296296296296" style="141" customWidth="1"/>
    <col min="12540" max="12540" width="29.25" style="141" customWidth="1"/>
    <col min="12541" max="12542" width="12.6296296296296" style="141" customWidth="1"/>
    <col min="12543" max="12544" width="15.6296296296296" style="141" customWidth="1"/>
    <col min="12545" max="12545" width="7" style="141" customWidth="1"/>
    <col min="12546" max="12546" width="9" style="141" hidden="1" customWidth="1"/>
    <col min="12547" max="12794" width="9" style="141"/>
    <col min="12795" max="12795" width="17.1296296296296" style="141" customWidth="1"/>
    <col min="12796" max="12796" width="29.25" style="141" customWidth="1"/>
    <col min="12797" max="12798" width="12.6296296296296" style="141" customWidth="1"/>
    <col min="12799" max="12800" width="15.6296296296296" style="141" customWidth="1"/>
    <col min="12801" max="12801" width="7" style="141" customWidth="1"/>
    <col min="12802" max="12802" width="9" style="141" hidden="1" customWidth="1"/>
    <col min="12803" max="13050" width="9" style="141"/>
    <col min="13051" max="13051" width="17.1296296296296" style="141" customWidth="1"/>
    <col min="13052" max="13052" width="29.25" style="141" customWidth="1"/>
    <col min="13053" max="13054" width="12.6296296296296" style="141" customWidth="1"/>
    <col min="13055" max="13056" width="15.6296296296296" style="141" customWidth="1"/>
    <col min="13057" max="13057" width="7" style="141" customWidth="1"/>
    <col min="13058" max="13058" width="9" style="141" hidden="1" customWidth="1"/>
    <col min="13059" max="13306" width="9" style="141"/>
    <col min="13307" max="13307" width="17.1296296296296" style="141" customWidth="1"/>
    <col min="13308" max="13308" width="29.25" style="141" customWidth="1"/>
    <col min="13309" max="13310" width="12.6296296296296" style="141" customWidth="1"/>
    <col min="13311" max="13312" width="15.6296296296296" style="141" customWidth="1"/>
    <col min="13313" max="13313" width="7" style="141" customWidth="1"/>
    <col min="13314" max="13314" width="9" style="141" hidden="1" customWidth="1"/>
    <col min="13315" max="13562" width="9" style="141"/>
    <col min="13563" max="13563" width="17.1296296296296" style="141" customWidth="1"/>
    <col min="13564" max="13564" width="29.25" style="141" customWidth="1"/>
    <col min="13565" max="13566" width="12.6296296296296" style="141" customWidth="1"/>
    <col min="13567" max="13568" width="15.6296296296296" style="141" customWidth="1"/>
    <col min="13569" max="13569" width="7" style="141" customWidth="1"/>
    <col min="13570" max="13570" width="9" style="141" hidden="1" customWidth="1"/>
    <col min="13571" max="13818" width="9" style="141"/>
    <col min="13819" max="13819" width="17.1296296296296" style="141" customWidth="1"/>
    <col min="13820" max="13820" width="29.25" style="141" customWidth="1"/>
    <col min="13821" max="13822" width="12.6296296296296" style="141" customWidth="1"/>
    <col min="13823" max="13824" width="15.6296296296296" style="141" customWidth="1"/>
    <col min="13825" max="13825" width="7" style="141" customWidth="1"/>
    <col min="13826" max="13826" width="9" style="141" hidden="1" customWidth="1"/>
    <col min="13827" max="14074" width="9" style="141"/>
    <col min="14075" max="14075" width="17.1296296296296" style="141" customWidth="1"/>
    <col min="14076" max="14076" width="29.25" style="141" customWidth="1"/>
    <col min="14077" max="14078" width="12.6296296296296" style="141" customWidth="1"/>
    <col min="14079" max="14080" width="15.6296296296296" style="141" customWidth="1"/>
    <col min="14081" max="14081" width="7" style="141" customWidth="1"/>
    <col min="14082" max="14082" width="9" style="141" hidden="1" customWidth="1"/>
    <col min="14083" max="14330" width="9" style="141"/>
    <col min="14331" max="14331" width="17.1296296296296" style="141" customWidth="1"/>
    <col min="14332" max="14332" width="29.25" style="141" customWidth="1"/>
    <col min="14333" max="14334" width="12.6296296296296" style="141" customWidth="1"/>
    <col min="14335" max="14336" width="15.6296296296296" style="141" customWidth="1"/>
    <col min="14337" max="14337" width="7" style="141" customWidth="1"/>
    <col min="14338" max="14338" width="9" style="141" hidden="1" customWidth="1"/>
    <col min="14339" max="14586" width="9" style="141"/>
    <col min="14587" max="14587" width="17.1296296296296" style="141" customWidth="1"/>
    <col min="14588" max="14588" width="29.25" style="141" customWidth="1"/>
    <col min="14589" max="14590" width="12.6296296296296" style="141" customWidth="1"/>
    <col min="14591" max="14592" width="15.6296296296296" style="141" customWidth="1"/>
    <col min="14593" max="14593" width="7" style="141" customWidth="1"/>
    <col min="14594" max="14594" width="9" style="141" hidden="1" customWidth="1"/>
    <col min="14595" max="14842" width="9" style="141"/>
    <col min="14843" max="14843" width="17.1296296296296" style="141" customWidth="1"/>
    <col min="14844" max="14844" width="29.25" style="141" customWidth="1"/>
    <col min="14845" max="14846" width="12.6296296296296" style="141" customWidth="1"/>
    <col min="14847" max="14848" width="15.6296296296296" style="141" customWidth="1"/>
    <col min="14849" max="14849" width="7" style="141" customWidth="1"/>
    <col min="14850" max="14850" width="9" style="141" hidden="1" customWidth="1"/>
    <col min="14851" max="15098" width="9" style="141"/>
    <col min="15099" max="15099" width="17.1296296296296" style="141" customWidth="1"/>
    <col min="15100" max="15100" width="29.25" style="141" customWidth="1"/>
    <col min="15101" max="15102" width="12.6296296296296" style="141" customWidth="1"/>
    <col min="15103" max="15104" width="15.6296296296296" style="141" customWidth="1"/>
    <col min="15105" max="15105" width="7" style="141" customWidth="1"/>
    <col min="15106" max="15106" width="9" style="141" hidden="1" customWidth="1"/>
    <col min="15107" max="15354" width="9" style="141"/>
    <col min="15355" max="15355" width="17.1296296296296" style="141" customWidth="1"/>
    <col min="15356" max="15356" width="29.25" style="141" customWidth="1"/>
    <col min="15357" max="15358" width="12.6296296296296" style="141" customWidth="1"/>
    <col min="15359" max="15360" width="15.6296296296296" style="141" customWidth="1"/>
    <col min="15361" max="15361" width="7" style="141" customWidth="1"/>
    <col min="15362" max="15362" width="9" style="141" hidden="1" customWidth="1"/>
    <col min="15363" max="15610" width="9" style="141"/>
    <col min="15611" max="15611" width="17.1296296296296" style="141" customWidth="1"/>
    <col min="15612" max="15612" width="29.25" style="141" customWidth="1"/>
    <col min="15613" max="15614" width="12.6296296296296" style="141" customWidth="1"/>
    <col min="15615" max="15616" width="15.6296296296296" style="141" customWidth="1"/>
    <col min="15617" max="15617" width="7" style="141" customWidth="1"/>
    <col min="15618" max="15618" width="9" style="141" hidden="1" customWidth="1"/>
    <col min="15619" max="15866" width="9" style="141"/>
    <col min="15867" max="15867" width="17.1296296296296" style="141" customWidth="1"/>
    <col min="15868" max="15868" width="29.25" style="141" customWidth="1"/>
    <col min="15869" max="15870" width="12.6296296296296" style="141" customWidth="1"/>
    <col min="15871" max="15872" width="15.6296296296296" style="141" customWidth="1"/>
    <col min="15873" max="15873" width="7" style="141" customWidth="1"/>
    <col min="15874" max="15874" width="9" style="141" hidden="1" customWidth="1"/>
    <col min="15875" max="16122" width="9" style="141"/>
    <col min="16123" max="16123" width="17.1296296296296" style="141" customWidth="1"/>
    <col min="16124" max="16124" width="29.25" style="141" customWidth="1"/>
    <col min="16125" max="16126" width="12.6296296296296" style="141" customWidth="1"/>
    <col min="16127" max="16128" width="15.6296296296296" style="141" customWidth="1"/>
    <col min="16129" max="16129" width="7" style="141" customWidth="1"/>
    <col min="16130" max="16130" width="9" style="141" hidden="1" customWidth="1"/>
    <col min="16131" max="16384" width="9" style="141"/>
  </cols>
  <sheetData>
    <row r="1" ht="45" customHeight="1" spans="1:9">
      <c r="A1" s="143" t="s">
        <v>100</v>
      </c>
      <c r="B1" s="143"/>
      <c r="C1" s="143"/>
      <c r="D1" s="143"/>
      <c r="E1" s="143"/>
      <c r="F1" s="143"/>
      <c r="G1" s="143"/>
      <c r="H1" s="143"/>
      <c r="I1" s="143"/>
    </row>
    <row r="2" ht="35.1" customHeight="1" spans="1:9">
      <c r="A2" s="144" t="s">
        <v>101</v>
      </c>
      <c r="B2" s="144" t="s">
        <v>102</v>
      </c>
      <c r="C2" s="144" t="s">
        <v>103</v>
      </c>
      <c r="D2" s="144" t="s">
        <v>104</v>
      </c>
      <c r="E2" s="144" t="s">
        <v>105</v>
      </c>
      <c r="F2" s="144" t="s">
        <v>106</v>
      </c>
      <c r="G2" s="144" t="s">
        <v>107</v>
      </c>
      <c r="H2" s="144" t="s">
        <v>108</v>
      </c>
      <c r="I2" s="144" t="s">
        <v>109</v>
      </c>
    </row>
    <row r="3" ht="144.95" customHeight="1" spans="1:9">
      <c r="A3" s="145">
        <v>1</v>
      </c>
      <c r="B3" s="146" t="s">
        <v>110</v>
      </c>
      <c r="C3" s="147" t="s">
        <v>111</v>
      </c>
      <c r="D3" s="148"/>
      <c r="E3" s="149">
        <v>4000</v>
      </c>
      <c r="F3" s="150"/>
      <c r="G3" s="150"/>
      <c r="H3" s="150"/>
      <c r="I3" s="150"/>
    </row>
    <row r="4" ht="126.95" customHeight="1" spans="1:9">
      <c r="A4" s="145">
        <v>2</v>
      </c>
      <c r="B4" s="146" t="s">
        <v>112</v>
      </c>
      <c r="C4" s="147" t="s">
        <v>113</v>
      </c>
      <c r="D4" s="148"/>
      <c r="E4" s="149">
        <v>1000</v>
      </c>
      <c r="F4" s="150"/>
      <c r="G4" s="150"/>
      <c r="H4" s="150"/>
      <c r="I4" s="150"/>
    </row>
    <row r="5" customHeight="1" spans="1:9">
      <c r="A5" s="145">
        <v>3</v>
      </c>
      <c r="B5" s="151" t="s">
        <v>114</v>
      </c>
      <c r="C5" s="151"/>
      <c r="D5" s="151"/>
      <c r="E5" s="151"/>
      <c r="F5" s="152">
        <f>F7/1.13</f>
        <v>0</v>
      </c>
      <c r="G5" s="152"/>
      <c r="H5" s="152"/>
      <c r="I5" s="152"/>
    </row>
    <row r="6" customHeight="1" spans="1:9">
      <c r="A6" s="145">
        <v>4</v>
      </c>
      <c r="B6" s="151" t="s">
        <v>115</v>
      </c>
      <c r="C6" s="151"/>
      <c r="D6" s="151"/>
      <c r="E6" s="151"/>
      <c r="F6" s="153">
        <v>0.13</v>
      </c>
      <c r="G6" s="153"/>
      <c r="H6" s="153"/>
      <c r="I6" s="153"/>
    </row>
    <row r="7" customHeight="1" spans="1:9">
      <c r="A7" s="145">
        <v>5</v>
      </c>
      <c r="B7" s="151" t="s">
        <v>116</v>
      </c>
      <c r="C7" s="151"/>
      <c r="D7" s="151"/>
      <c r="E7" s="151"/>
      <c r="F7" s="152">
        <f>SUM(I3:I4)</f>
        <v>0</v>
      </c>
      <c r="G7" s="152"/>
      <c r="H7" s="152"/>
      <c r="I7" s="152"/>
    </row>
  </sheetData>
  <mergeCells count="7">
    <mergeCell ref="A1:I1"/>
    <mergeCell ref="B5:E5"/>
    <mergeCell ref="F5:I5"/>
    <mergeCell ref="B6:E6"/>
    <mergeCell ref="F6:I6"/>
    <mergeCell ref="B7:E7"/>
    <mergeCell ref="F7:I7"/>
  </mergeCells>
  <printOptions horizontalCentered="1"/>
  <pageMargins left="0.196527777777778" right="0" top="1" bottom="1" header="0.5" footer="0.5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50"/>
  <sheetViews>
    <sheetView showGridLines="0" topLeftCell="B1" workbookViewId="0">
      <pane xSplit="2" ySplit="3" topLeftCell="I4" activePane="bottomRight" state="frozen"/>
      <selection/>
      <selection pane="topRight"/>
      <selection pane="bottomLeft"/>
      <selection pane="bottomRight" activeCell="J15" sqref="J15"/>
    </sheetView>
  </sheetViews>
  <sheetFormatPr defaultColWidth="9" defaultRowHeight="10.8"/>
  <cols>
    <col min="1" max="1" width="8.62962962962963" style="36" customWidth="1"/>
    <col min="2" max="2" width="14.75" style="36" customWidth="1"/>
    <col min="3" max="3" width="22" style="36" customWidth="1"/>
    <col min="4" max="4" width="11.8796296296296" style="36" customWidth="1"/>
    <col min="5" max="8" width="8.37962962962963" style="52" customWidth="1"/>
    <col min="9" max="9" width="8.37962962962963" style="53" customWidth="1"/>
    <col min="10" max="10" width="13.8796296296296" style="53" customWidth="1"/>
    <col min="11" max="11" width="9.75" style="53" customWidth="1"/>
    <col min="12" max="12" width="12" style="53" customWidth="1"/>
    <col min="13" max="13" width="9.37962962962963" style="53" customWidth="1"/>
    <col min="14" max="14" width="11.3796296296296" style="53" customWidth="1"/>
    <col min="15" max="15" width="8.37962962962963" style="53" customWidth="1"/>
    <col min="16" max="16" width="13.75" style="53" customWidth="1"/>
    <col min="17" max="17" width="10.1296296296296" style="52" customWidth="1"/>
    <col min="18" max="18" width="14" style="36" customWidth="1"/>
    <col min="19" max="19" width="10.1296296296296" style="53" customWidth="1"/>
    <col min="20" max="20" width="12.6296296296296" style="53" customWidth="1"/>
    <col min="21" max="21" width="10.1296296296296" style="36" customWidth="1"/>
    <col min="22" max="22" width="13.3796296296296" style="36" customWidth="1"/>
    <col min="23" max="23" width="10.1296296296296" style="53" customWidth="1"/>
    <col min="24" max="24" width="12.3796296296296" style="53" hidden="1" customWidth="1"/>
    <col min="25" max="25" width="10.1296296296296" style="53" hidden="1" customWidth="1"/>
    <col min="26" max="26" width="12.6296296296296" style="53" customWidth="1"/>
    <col min="27" max="27" width="10.1296296296296" style="53" customWidth="1"/>
    <col min="28" max="28" width="13.25" style="53" customWidth="1"/>
    <col min="29" max="29" width="7.12962962962963" style="53" hidden="1" customWidth="1"/>
    <col min="30" max="31" width="9" style="36" hidden="1" customWidth="1"/>
    <col min="32" max="16384" width="9" style="36"/>
  </cols>
  <sheetData>
    <row r="1" ht="39" customHeight="1" spans="1:29">
      <c r="A1" s="54" t="s">
        <v>117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5"/>
      <c r="X1" s="55"/>
      <c r="Y1" s="55"/>
      <c r="Z1" s="55"/>
      <c r="AA1" s="55"/>
      <c r="AB1" s="55"/>
      <c r="AC1" s="37"/>
    </row>
    <row r="2" ht="26.25" customHeight="1" spans="1:29">
      <c r="A2" s="56" t="s">
        <v>118</v>
      </c>
      <c r="B2" s="56" t="s">
        <v>119</v>
      </c>
      <c r="C2" s="56" t="s">
        <v>120</v>
      </c>
      <c r="D2" s="56" t="s">
        <v>42</v>
      </c>
      <c r="E2" s="57" t="s">
        <v>121</v>
      </c>
      <c r="F2" s="57" t="s">
        <v>122</v>
      </c>
      <c r="G2" s="57" t="s">
        <v>123</v>
      </c>
      <c r="H2" s="57" t="s">
        <v>124</v>
      </c>
      <c r="I2" s="58" t="s">
        <v>125</v>
      </c>
      <c r="J2" s="58" t="s">
        <v>126</v>
      </c>
      <c r="K2" s="59" t="s">
        <v>127</v>
      </c>
      <c r="L2" s="60"/>
      <c r="M2" s="61" t="s">
        <v>128</v>
      </c>
      <c r="N2" s="62"/>
      <c r="O2" s="59" t="s">
        <v>129</v>
      </c>
      <c r="P2" s="60"/>
      <c r="Q2" s="61" t="s">
        <v>130</v>
      </c>
      <c r="R2" s="62"/>
      <c r="S2" s="61" t="s">
        <v>131</v>
      </c>
      <c r="T2" s="62"/>
      <c r="U2" s="63" t="s">
        <v>132</v>
      </c>
      <c r="V2" s="63"/>
      <c r="W2" s="64"/>
      <c r="X2" s="36" t="s">
        <v>125</v>
      </c>
      <c r="Y2" s="36" t="s">
        <v>133</v>
      </c>
      <c r="Z2" s="36"/>
      <c r="AA2" s="36"/>
      <c r="AB2" s="36"/>
      <c r="AC2" s="36"/>
    </row>
    <row r="3" ht="19.5" customHeight="1" spans="1:29">
      <c r="A3" s="65"/>
      <c r="B3" s="65"/>
      <c r="C3" s="65"/>
      <c r="D3" s="65"/>
      <c r="E3" s="66"/>
      <c r="F3" s="66"/>
      <c r="G3" s="66"/>
      <c r="H3" s="66"/>
      <c r="I3" s="67"/>
      <c r="J3" s="67"/>
      <c r="K3" s="68" t="s">
        <v>121</v>
      </c>
      <c r="L3" s="63" t="s">
        <v>126</v>
      </c>
      <c r="M3" s="68" t="s">
        <v>121</v>
      </c>
      <c r="N3" s="63" t="s">
        <v>126</v>
      </c>
      <c r="O3" s="68" t="s">
        <v>121</v>
      </c>
      <c r="P3" s="63" t="s">
        <v>126</v>
      </c>
      <c r="Q3" s="68" t="s">
        <v>121</v>
      </c>
      <c r="R3" s="63" t="s">
        <v>126</v>
      </c>
      <c r="S3" s="68" t="s">
        <v>121</v>
      </c>
      <c r="T3" s="63" t="s">
        <v>126</v>
      </c>
      <c r="U3" s="68" t="s">
        <v>121</v>
      </c>
      <c r="V3" s="63" t="s">
        <v>126</v>
      </c>
      <c r="W3" s="64"/>
      <c r="X3" s="36"/>
      <c r="Y3" s="36"/>
      <c r="Z3" s="36"/>
      <c r="AA3" s="36"/>
      <c r="AB3" s="36"/>
      <c r="AC3" s="36"/>
    </row>
    <row r="4" ht="30" customHeight="1" spans="1:29">
      <c r="A4" s="21" t="s">
        <v>134</v>
      </c>
      <c r="B4" s="102" t="s">
        <v>135</v>
      </c>
      <c r="C4" s="21" t="s">
        <v>136</v>
      </c>
      <c r="D4" s="21" t="s">
        <v>137</v>
      </c>
      <c r="E4" s="71">
        <f>2300+1000</f>
        <v>3300</v>
      </c>
      <c r="F4" s="71"/>
      <c r="G4" s="71">
        <v>2700</v>
      </c>
      <c r="H4" s="71">
        <v>600</v>
      </c>
      <c r="I4" s="48">
        <v>2.906</v>
      </c>
      <c r="J4" s="48">
        <f t="shared" ref="J4:J13" si="0">I4*E4</f>
        <v>9589.8</v>
      </c>
      <c r="K4" s="71">
        <f>1666+600+10+7</f>
        <v>2283</v>
      </c>
      <c r="L4" s="72">
        <f t="shared" ref="L4:L13" si="1">K4*I4</f>
        <v>6634.398</v>
      </c>
      <c r="M4" s="48">
        <v>50</v>
      </c>
      <c r="N4" s="48">
        <f t="shared" ref="N4:N13" si="2">M4*I4</f>
        <v>145.3</v>
      </c>
      <c r="O4" s="21">
        <v>715</v>
      </c>
      <c r="P4" s="72">
        <f t="shared" ref="P4:P13" si="3">O4*I4</f>
        <v>2077.79</v>
      </c>
      <c r="Q4" s="48">
        <v>80</v>
      </c>
      <c r="R4" s="48">
        <f t="shared" ref="R4:R13" si="4">Q4*I4</f>
        <v>232.48</v>
      </c>
      <c r="S4" s="48">
        <f>36+20+10+30</f>
        <v>96</v>
      </c>
      <c r="T4" s="48">
        <f t="shared" ref="T4:T13" si="5">S4*I4</f>
        <v>278.976</v>
      </c>
      <c r="U4" s="48">
        <f>E4-K4-O4-M4-Q4-S4</f>
        <v>76</v>
      </c>
      <c r="V4" s="48">
        <f t="shared" ref="V4:V13" si="6">J4-L4-P4-N4-R4-T4</f>
        <v>220.856000000001</v>
      </c>
      <c r="W4" s="74"/>
      <c r="X4" s="75">
        <v>4.2</v>
      </c>
      <c r="Y4" s="76">
        <f t="shared" ref="Y4:Y13" si="7">X4*E4</f>
        <v>13860</v>
      </c>
      <c r="Z4" s="77"/>
      <c r="AA4" s="36"/>
      <c r="AB4" s="36"/>
      <c r="AC4" s="36"/>
    </row>
    <row r="5" ht="30" customHeight="1" spans="1:29">
      <c r="A5" s="21" t="s">
        <v>138</v>
      </c>
      <c r="B5" s="102" t="s">
        <v>139</v>
      </c>
      <c r="C5" s="21" t="s">
        <v>140</v>
      </c>
      <c r="D5" s="21" t="s">
        <v>137</v>
      </c>
      <c r="E5" s="71">
        <f>2300+1000</f>
        <v>3300</v>
      </c>
      <c r="F5" s="71"/>
      <c r="G5" s="71">
        <v>2700</v>
      </c>
      <c r="H5" s="71">
        <v>600</v>
      </c>
      <c r="I5" s="48">
        <v>3.59</v>
      </c>
      <c r="J5" s="48">
        <f t="shared" si="0"/>
        <v>11847</v>
      </c>
      <c r="K5" s="71">
        <f>1666+600+10+7</f>
        <v>2283</v>
      </c>
      <c r="L5" s="72">
        <f t="shared" si="1"/>
        <v>8195.97</v>
      </c>
      <c r="M5" s="48">
        <v>50</v>
      </c>
      <c r="N5" s="48">
        <f t="shared" si="2"/>
        <v>179.5</v>
      </c>
      <c r="O5" s="21">
        <v>715</v>
      </c>
      <c r="P5" s="72">
        <f t="shared" si="3"/>
        <v>2566.85</v>
      </c>
      <c r="Q5" s="48">
        <f>30+40+10</f>
        <v>80</v>
      </c>
      <c r="R5" s="48">
        <f t="shared" si="4"/>
        <v>287.2</v>
      </c>
      <c r="S5" s="48">
        <v>96</v>
      </c>
      <c r="T5" s="48">
        <f t="shared" si="5"/>
        <v>344.64</v>
      </c>
      <c r="U5" s="48">
        <f t="shared" ref="U5:U13" si="8">E5-K5-O5-M5-Q5-S5</f>
        <v>76</v>
      </c>
      <c r="V5" s="48">
        <f t="shared" si="6"/>
        <v>272.840000000001</v>
      </c>
      <c r="W5" s="74"/>
      <c r="X5" s="75">
        <v>4.8</v>
      </c>
      <c r="Y5" s="76">
        <f t="shared" si="7"/>
        <v>15840</v>
      </c>
      <c r="Z5" s="77"/>
      <c r="AA5" s="36"/>
      <c r="AB5" s="36"/>
      <c r="AC5" s="36"/>
    </row>
    <row r="6" ht="30" customHeight="1" spans="1:29">
      <c r="A6" s="21" t="s">
        <v>141</v>
      </c>
      <c r="B6" s="103" t="s">
        <v>142</v>
      </c>
      <c r="C6" s="21" t="s">
        <v>143</v>
      </c>
      <c r="D6" s="21" t="s">
        <v>137</v>
      </c>
      <c r="E6" s="71">
        <v>1200</v>
      </c>
      <c r="F6" s="71">
        <v>1200</v>
      </c>
      <c r="G6" s="71"/>
      <c r="H6" s="71"/>
      <c r="I6" s="48">
        <v>3.248</v>
      </c>
      <c r="J6" s="48">
        <f t="shared" si="0"/>
        <v>3897.6</v>
      </c>
      <c r="K6" s="71">
        <f>1226-26</f>
        <v>1200</v>
      </c>
      <c r="L6" s="72">
        <f t="shared" si="1"/>
        <v>3897.6</v>
      </c>
      <c r="M6" s="48"/>
      <c r="N6" s="48">
        <f t="shared" si="2"/>
        <v>0</v>
      </c>
      <c r="O6" s="21"/>
      <c r="P6" s="72">
        <f t="shared" si="3"/>
        <v>0</v>
      </c>
      <c r="Q6" s="48"/>
      <c r="R6" s="48">
        <f t="shared" si="4"/>
        <v>0</v>
      </c>
      <c r="S6" s="48"/>
      <c r="T6" s="48">
        <f t="shared" si="5"/>
        <v>0</v>
      </c>
      <c r="U6" s="48">
        <f t="shared" si="8"/>
        <v>0</v>
      </c>
      <c r="V6" s="48">
        <f t="shared" si="6"/>
        <v>0</v>
      </c>
      <c r="W6" s="74"/>
      <c r="X6" s="36">
        <v>4.6</v>
      </c>
      <c r="Y6" s="76">
        <f t="shared" si="7"/>
        <v>5520</v>
      </c>
      <c r="Z6" s="77"/>
      <c r="AA6" s="36"/>
      <c r="AB6" s="36"/>
      <c r="AC6" s="36"/>
    </row>
    <row r="7" ht="30" customHeight="1" spans="1:29">
      <c r="A7" s="21" t="s">
        <v>144</v>
      </c>
      <c r="B7" s="102" t="s">
        <v>145</v>
      </c>
      <c r="C7" s="21" t="s">
        <v>146</v>
      </c>
      <c r="D7" s="21" t="s">
        <v>137</v>
      </c>
      <c r="E7" s="71">
        <v>4500</v>
      </c>
      <c r="F7" s="71">
        <v>1200</v>
      </c>
      <c r="G7" s="71">
        <v>2700</v>
      </c>
      <c r="H7" s="71">
        <v>600</v>
      </c>
      <c r="I7" s="48">
        <v>3.504</v>
      </c>
      <c r="J7" s="48">
        <f t="shared" si="0"/>
        <v>15768</v>
      </c>
      <c r="K7" s="71">
        <f>1226+1666+600-26+10+7</f>
        <v>3483</v>
      </c>
      <c r="L7" s="72">
        <f t="shared" si="1"/>
        <v>12204.432</v>
      </c>
      <c r="M7" s="48">
        <v>50</v>
      </c>
      <c r="N7" s="48">
        <f t="shared" si="2"/>
        <v>175.2</v>
      </c>
      <c r="O7" s="21">
        <v>715</v>
      </c>
      <c r="P7" s="72">
        <f t="shared" si="3"/>
        <v>2505.36</v>
      </c>
      <c r="Q7" s="48">
        <v>80</v>
      </c>
      <c r="R7" s="48">
        <f t="shared" si="4"/>
        <v>280.32</v>
      </c>
      <c r="S7" s="48">
        <v>96</v>
      </c>
      <c r="T7" s="48">
        <f t="shared" si="5"/>
        <v>336.384</v>
      </c>
      <c r="U7" s="48">
        <f t="shared" si="8"/>
        <v>76</v>
      </c>
      <c r="V7" s="48">
        <f t="shared" si="6"/>
        <v>266.303999999999</v>
      </c>
      <c r="W7" s="74"/>
      <c r="X7" s="75">
        <v>4.9</v>
      </c>
      <c r="Y7" s="76">
        <f t="shared" si="7"/>
        <v>22050</v>
      </c>
      <c r="Z7" s="77"/>
      <c r="AA7" s="36"/>
      <c r="AB7" s="36"/>
      <c r="AC7" s="36"/>
    </row>
    <row r="8" ht="30" customHeight="1" spans="1:29">
      <c r="A8" s="21" t="s">
        <v>147</v>
      </c>
      <c r="B8" s="102" t="s">
        <v>148</v>
      </c>
      <c r="C8" s="21" t="s">
        <v>149</v>
      </c>
      <c r="D8" s="21" t="s">
        <v>137</v>
      </c>
      <c r="E8" s="71">
        <v>3300</v>
      </c>
      <c r="F8" s="71"/>
      <c r="G8" s="71">
        <v>2700</v>
      </c>
      <c r="H8" s="71">
        <v>600</v>
      </c>
      <c r="I8" s="48">
        <v>2.564</v>
      </c>
      <c r="J8" s="48">
        <f t="shared" si="0"/>
        <v>8461.2</v>
      </c>
      <c r="K8" s="71">
        <f>1666+600+10+7</f>
        <v>2283</v>
      </c>
      <c r="L8" s="72">
        <f t="shared" si="1"/>
        <v>5853.612</v>
      </c>
      <c r="M8" s="48">
        <v>50</v>
      </c>
      <c r="N8" s="48">
        <f t="shared" si="2"/>
        <v>128.2</v>
      </c>
      <c r="O8" s="21">
        <v>715</v>
      </c>
      <c r="P8" s="72">
        <f t="shared" si="3"/>
        <v>1833.26</v>
      </c>
      <c r="Q8" s="48">
        <v>80</v>
      </c>
      <c r="R8" s="48">
        <f t="shared" si="4"/>
        <v>205.12</v>
      </c>
      <c r="S8" s="48">
        <v>96</v>
      </c>
      <c r="T8" s="48">
        <f t="shared" si="5"/>
        <v>246.144</v>
      </c>
      <c r="U8" s="48">
        <f t="shared" si="8"/>
        <v>76</v>
      </c>
      <c r="V8" s="48">
        <f t="shared" si="6"/>
        <v>194.864000000001</v>
      </c>
      <c r="W8" s="74"/>
      <c r="X8" s="75">
        <v>3.5</v>
      </c>
      <c r="Y8" s="76">
        <f t="shared" si="7"/>
        <v>11550</v>
      </c>
      <c r="Z8" s="77"/>
      <c r="AA8" s="36"/>
      <c r="AB8" s="36"/>
      <c r="AC8" s="36"/>
    </row>
    <row r="9" ht="30" customHeight="1" spans="1:29">
      <c r="A9" s="21" t="s">
        <v>150</v>
      </c>
      <c r="B9" s="102" t="s">
        <v>151</v>
      </c>
      <c r="C9" s="21" t="s">
        <v>152</v>
      </c>
      <c r="D9" s="21" t="s">
        <v>137</v>
      </c>
      <c r="E9" s="71">
        <v>3300</v>
      </c>
      <c r="F9" s="71"/>
      <c r="G9" s="71">
        <v>2700</v>
      </c>
      <c r="H9" s="71">
        <v>600</v>
      </c>
      <c r="I9" s="48">
        <v>3.547</v>
      </c>
      <c r="J9" s="48">
        <f t="shared" si="0"/>
        <v>11705.1</v>
      </c>
      <c r="K9" s="71">
        <f>1666+600+10+7</f>
        <v>2283</v>
      </c>
      <c r="L9" s="72">
        <f t="shared" si="1"/>
        <v>8097.801</v>
      </c>
      <c r="M9" s="48">
        <v>50</v>
      </c>
      <c r="N9" s="48">
        <f t="shared" si="2"/>
        <v>177.35</v>
      </c>
      <c r="O9" s="21">
        <v>715</v>
      </c>
      <c r="P9" s="72">
        <f t="shared" si="3"/>
        <v>2536.105</v>
      </c>
      <c r="Q9" s="48">
        <v>80</v>
      </c>
      <c r="R9" s="48">
        <f t="shared" si="4"/>
        <v>283.76</v>
      </c>
      <c r="S9" s="48">
        <v>96</v>
      </c>
      <c r="T9" s="48">
        <f t="shared" si="5"/>
        <v>340.512</v>
      </c>
      <c r="U9" s="48">
        <f t="shared" si="8"/>
        <v>76</v>
      </c>
      <c r="V9" s="48">
        <f t="shared" si="6"/>
        <v>269.572</v>
      </c>
      <c r="W9" s="74"/>
      <c r="X9" s="75">
        <v>4.6</v>
      </c>
      <c r="Y9" s="76">
        <f t="shared" si="7"/>
        <v>15180</v>
      </c>
      <c r="Z9" s="77"/>
      <c r="AA9" s="36"/>
      <c r="AB9" s="36"/>
      <c r="AC9" s="36"/>
    </row>
    <row r="10" ht="30" customHeight="1" spans="1:29">
      <c r="A10" s="21" t="s">
        <v>153</v>
      </c>
      <c r="B10" s="102" t="s">
        <v>154</v>
      </c>
      <c r="C10" s="21" t="s">
        <v>155</v>
      </c>
      <c r="D10" s="21" t="s">
        <v>137</v>
      </c>
      <c r="E10" s="71">
        <v>3300</v>
      </c>
      <c r="F10" s="71"/>
      <c r="G10" s="71">
        <v>2700</v>
      </c>
      <c r="H10" s="71">
        <v>600</v>
      </c>
      <c r="I10" s="48">
        <v>2.906</v>
      </c>
      <c r="J10" s="48">
        <f t="shared" si="0"/>
        <v>9589.8</v>
      </c>
      <c r="K10" s="71">
        <f>1666+600+10+7</f>
        <v>2283</v>
      </c>
      <c r="L10" s="72">
        <f t="shared" si="1"/>
        <v>6634.398</v>
      </c>
      <c r="M10" s="48">
        <v>50</v>
      </c>
      <c r="N10" s="48">
        <f t="shared" si="2"/>
        <v>145.3</v>
      </c>
      <c r="O10" s="21">
        <v>715</v>
      </c>
      <c r="P10" s="72">
        <f t="shared" si="3"/>
        <v>2077.79</v>
      </c>
      <c r="Q10" s="48">
        <v>80</v>
      </c>
      <c r="R10" s="48">
        <f t="shared" si="4"/>
        <v>232.48</v>
      </c>
      <c r="S10" s="48">
        <v>96</v>
      </c>
      <c r="T10" s="48">
        <f t="shared" si="5"/>
        <v>278.976</v>
      </c>
      <c r="U10" s="48">
        <f t="shared" si="8"/>
        <v>76</v>
      </c>
      <c r="V10" s="48">
        <f t="shared" si="6"/>
        <v>220.856000000001</v>
      </c>
      <c r="W10" s="74"/>
      <c r="X10" s="75">
        <v>4.1</v>
      </c>
      <c r="Y10" s="76">
        <f t="shared" si="7"/>
        <v>13530</v>
      </c>
      <c r="Z10" s="77"/>
      <c r="AA10" s="36"/>
      <c r="AB10" s="36"/>
      <c r="AC10" s="36"/>
    </row>
    <row r="11" ht="30" customHeight="1" spans="1:29">
      <c r="A11" s="21" t="s">
        <v>156</v>
      </c>
      <c r="B11" s="103" t="s">
        <v>157</v>
      </c>
      <c r="C11" s="21" t="s">
        <v>158</v>
      </c>
      <c r="D11" s="21" t="s">
        <v>159</v>
      </c>
      <c r="E11" s="71">
        <v>1200</v>
      </c>
      <c r="F11" s="71">
        <v>1200</v>
      </c>
      <c r="G11" s="71"/>
      <c r="H11" s="71"/>
      <c r="I11" s="48">
        <v>13.077</v>
      </c>
      <c r="J11" s="48">
        <f t="shared" si="0"/>
        <v>15692.4</v>
      </c>
      <c r="K11" s="71">
        <f>1226-26</f>
        <v>1200</v>
      </c>
      <c r="L11" s="72">
        <f t="shared" si="1"/>
        <v>15692.4</v>
      </c>
      <c r="M11" s="48"/>
      <c r="N11" s="48">
        <f t="shared" si="2"/>
        <v>0</v>
      </c>
      <c r="O11" s="21"/>
      <c r="P11" s="72">
        <f t="shared" si="3"/>
        <v>0</v>
      </c>
      <c r="Q11" s="48"/>
      <c r="R11" s="48">
        <f t="shared" si="4"/>
        <v>0</v>
      </c>
      <c r="S11" s="48"/>
      <c r="T11" s="48">
        <f t="shared" si="5"/>
        <v>0</v>
      </c>
      <c r="U11" s="48">
        <f t="shared" si="8"/>
        <v>0</v>
      </c>
      <c r="V11" s="48">
        <f t="shared" si="6"/>
        <v>0</v>
      </c>
      <c r="W11" s="74"/>
      <c r="X11" s="36">
        <v>23</v>
      </c>
      <c r="Y11" s="76">
        <f t="shared" si="7"/>
        <v>27600</v>
      </c>
      <c r="Z11" s="77"/>
      <c r="AA11" s="36"/>
      <c r="AB11" s="36"/>
      <c r="AC11" s="36"/>
    </row>
    <row r="12" ht="30" customHeight="1" spans="1:29">
      <c r="A12" s="21" t="s">
        <v>160</v>
      </c>
      <c r="B12" s="104" t="s">
        <v>161</v>
      </c>
      <c r="C12" s="21" t="s">
        <v>162</v>
      </c>
      <c r="D12" s="21" t="s">
        <v>159</v>
      </c>
      <c r="E12" s="71">
        <v>2700</v>
      </c>
      <c r="F12" s="71"/>
      <c r="G12" s="71">
        <v>2700</v>
      </c>
      <c r="H12" s="71"/>
      <c r="I12" s="48">
        <v>21.368</v>
      </c>
      <c r="J12" s="48">
        <f t="shared" si="0"/>
        <v>57693.6</v>
      </c>
      <c r="K12" s="71">
        <f>1666+10+7</f>
        <v>1683</v>
      </c>
      <c r="L12" s="72">
        <f t="shared" si="1"/>
        <v>35962.344</v>
      </c>
      <c r="M12" s="48">
        <v>50</v>
      </c>
      <c r="N12" s="48">
        <f t="shared" si="2"/>
        <v>1068.4</v>
      </c>
      <c r="O12" s="21">
        <v>715</v>
      </c>
      <c r="P12" s="72">
        <f t="shared" si="3"/>
        <v>15278.12</v>
      </c>
      <c r="Q12" s="48">
        <v>80</v>
      </c>
      <c r="R12" s="48">
        <f t="shared" si="4"/>
        <v>1709.44</v>
      </c>
      <c r="S12" s="48">
        <v>96</v>
      </c>
      <c r="T12" s="48">
        <f t="shared" si="5"/>
        <v>2051.328</v>
      </c>
      <c r="U12" s="48">
        <f t="shared" si="8"/>
        <v>76</v>
      </c>
      <c r="V12" s="48">
        <f t="shared" si="6"/>
        <v>1623.968</v>
      </c>
      <c r="W12" s="74"/>
      <c r="X12" s="75">
        <v>33</v>
      </c>
      <c r="Y12" s="76">
        <f t="shared" si="7"/>
        <v>89100</v>
      </c>
      <c r="Z12" s="77"/>
      <c r="AA12" s="36"/>
      <c r="AB12" s="36"/>
      <c r="AC12" s="36"/>
    </row>
    <row r="13" ht="30" customHeight="1" spans="1:29">
      <c r="A13" s="21" t="s">
        <v>163</v>
      </c>
      <c r="B13" s="102" t="s">
        <v>164</v>
      </c>
      <c r="C13" s="21" t="s">
        <v>165</v>
      </c>
      <c r="D13" s="21" t="s">
        <v>159</v>
      </c>
      <c r="E13" s="71">
        <v>600</v>
      </c>
      <c r="F13" s="71"/>
      <c r="G13" s="71"/>
      <c r="H13" s="71">
        <v>600</v>
      </c>
      <c r="I13" s="48">
        <v>14.786</v>
      </c>
      <c r="J13" s="48">
        <f t="shared" si="0"/>
        <v>8871.6</v>
      </c>
      <c r="K13" s="71">
        <v>600</v>
      </c>
      <c r="L13" s="72">
        <f t="shared" si="1"/>
        <v>8871.6</v>
      </c>
      <c r="M13" s="48"/>
      <c r="N13" s="48">
        <f t="shared" si="2"/>
        <v>0</v>
      </c>
      <c r="O13" s="21"/>
      <c r="P13" s="72">
        <f t="shared" si="3"/>
        <v>0</v>
      </c>
      <c r="Q13" s="48"/>
      <c r="R13" s="48">
        <f t="shared" si="4"/>
        <v>0</v>
      </c>
      <c r="S13" s="48"/>
      <c r="T13" s="48">
        <f t="shared" si="5"/>
        <v>0</v>
      </c>
      <c r="U13" s="48">
        <f t="shared" si="8"/>
        <v>0</v>
      </c>
      <c r="V13" s="48">
        <f t="shared" si="6"/>
        <v>0</v>
      </c>
      <c r="W13" s="74"/>
      <c r="X13" s="36">
        <v>28</v>
      </c>
      <c r="Y13" s="76">
        <f t="shared" si="7"/>
        <v>16800</v>
      </c>
      <c r="Z13" s="77"/>
      <c r="AA13" s="36"/>
      <c r="AB13" s="36"/>
      <c r="AC13" s="36"/>
    </row>
    <row r="14" ht="30" customHeight="1" spans="1:29">
      <c r="A14" s="79" t="s">
        <v>166</v>
      </c>
      <c r="B14" s="80"/>
      <c r="C14" s="80"/>
      <c r="D14" s="80"/>
      <c r="E14" s="80"/>
      <c r="F14" s="105">
        <f t="array" ref="F14">SUM(F4:F13*I4:I13)</f>
        <v>23794.8</v>
      </c>
      <c r="G14" s="105">
        <f t="array" ref="G14">SUM(G4:G13*I4:I13)</f>
        <v>109039.5</v>
      </c>
      <c r="H14" s="105">
        <f t="array" ref="H14">SUM(H4:H13*I4:I13)</f>
        <v>20281.8</v>
      </c>
      <c r="I14" s="83"/>
      <c r="J14" s="84">
        <f>SUM(J4:J13)</f>
        <v>153116.1</v>
      </c>
      <c r="K14" s="85"/>
      <c r="L14" s="86">
        <f>SUM(L4:L13)</f>
        <v>112044.555</v>
      </c>
      <c r="M14" s="84"/>
      <c r="N14" s="84">
        <f>SUM(N4:N13)</f>
        <v>2019.25</v>
      </c>
      <c r="O14" s="105"/>
      <c r="P14" s="86">
        <f>SUM(P4:P13)</f>
        <v>28875.275</v>
      </c>
      <c r="Q14" s="84"/>
      <c r="R14" s="84">
        <f>SUM(R4:R13)</f>
        <v>3230.8</v>
      </c>
      <c r="S14" s="84"/>
      <c r="T14" s="84">
        <f>SUM(T4:T13)</f>
        <v>3876.96</v>
      </c>
      <c r="U14" s="84"/>
      <c r="V14" s="84">
        <f>SUM(V4:V13)</f>
        <v>3069.26000000001</v>
      </c>
      <c r="W14" s="87"/>
      <c r="X14" s="36"/>
      <c r="Y14" s="76">
        <f>SUM(Y4:Y13)</f>
        <v>231030</v>
      </c>
      <c r="Z14" s="36"/>
      <c r="AA14" s="36"/>
      <c r="AB14" s="36"/>
      <c r="AC14" s="36"/>
    </row>
    <row r="15" ht="30" customHeight="1" spans="1:29">
      <c r="A15" s="21" t="s">
        <v>167</v>
      </c>
      <c r="B15" s="21" t="s">
        <v>168</v>
      </c>
      <c r="C15" s="21" t="s">
        <v>169</v>
      </c>
      <c r="D15" s="21" t="s">
        <v>170</v>
      </c>
      <c r="E15" s="71">
        <v>500</v>
      </c>
      <c r="F15" s="71"/>
      <c r="G15" s="71"/>
      <c r="H15" s="71"/>
      <c r="I15" s="48">
        <v>1.2</v>
      </c>
      <c r="J15" s="48">
        <f t="shared" ref="J15:J20" si="9">I15*E15</f>
        <v>600</v>
      </c>
      <c r="K15" s="71"/>
      <c r="L15" s="21"/>
      <c r="M15" s="48"/>
      <c r="N15" s="48">
        <f t="shared" ref="N15:N20" si="10">M15*I15</f>
        <v>0</v>
      </c>
      <c r="O15" s="21"/>
      <c r="P15" s="21"/>
      <c r="Q15" s="48"/>
      <c r="R15" s="48">
        <f t="shared" ref="R15:R20" si="11">Q15*I15</f>
        <v>0</v>
      </c>
      <c r="S15" s="48"/>
      <c r="T15" s="48">
        <f t="shared" ref="T15:T20" si="12">S15*I15</f>
        <v>0</v>
      </c>
      <c r="U15" s="48"/>
      <c r="V15" s="48">
        <f t="shared" ref="V15:V20" si="13">J15-N15-R15-T15</f>
        <v>600</v>
      </c>
      <c r="W15" s="74"/>
      <c r="X15" s="36"/>
      <c r="Y15" s="36"/>
      <c r="Z15" s="36"/>
      <c r="AA15" s="36"/>
      <c r="AB15" s="36"/>
      <c r="AC15" s="36"/>
    </row>
    <row r="16" ht="30" customHeight="1" spans="1:29">
      <c r="A16" s="21" t="s">
        <v>171</v>
      </c>
      <c r="B16" s="21" t="s">
        <v>172</v>
      </c>
      <c r="C16" s="21" t="s">
        <v>173</v>
      </c>
      <c r="D16" s="21" t="s">
        <v>174</v>
      </c>
      <c r="E16" s="71">
        <v>3200</v>
      </c>
      <c r="F16" s="71"/>
      <c r="G16" s="71"/>
      <c r="H16" s="71"/>
      <c r="I16" s="48">
        <v>0.63</v>
      </c>
      <c r="J16" s="48">
        <f t="shared" si="9"/>
        <v>2016</v>
      </c>
      <c r="K16" s="71"/>
      <c r="L16" s="21"/>
      <c r="M16" s="48"/>
      <c r="N16" s="48">
        <f t="shared" si="10"/>
        <v>0</v>
      </c>
      <c r="O16" s="21"/>
      <c r="P16" s="21"/>
      <c r="Q16" s="48"/>
      <c r="R16" s="48">
        <f t="shared" si="11"/>
        <v>0</v>
      </c>
      <c r="S16" s="48"/>
      <c r="T16" s="48">
        <f t="shared" si="12"/>
        <v>0</v>
      </c>
      <c r="U16" s="48"/>
      <c r="V16" s="48">
        <f t="shared" si="13"/>
        <v>2016</v>
      </c>
      <c r="W16" s="74"/>
      <c r="X16" s="36"/>
      <c r="Y16" s="36"/>
      <c r="Z16" s="36"/>
      <c r="AA16" s="36"/>
      <c r="AB16" s="36"/>
      <c r="AC16" s="36"/>
    </row>
    <row r="17" ht="30" customHeight="1" spans="1:33">
      <c r="A17" s="21" t="s">
        <v>175</v>
      </c>
      <c r="B17" s="21" t="s">
        <v>176</v>
      </c>
      <c r="C17" s="21" t="s">
        <v>177</v>
      </c>
      <c r="D17" s="21" t="s">
        <v>178</v>
      </c>
      <c r="E17" s="71">
        <v>2950</v>
      </c>
      <c r="F17" s="71"/>
      <c r="G17" s="71"/>
      <c r="H17" s="71"/>
      <c r="I17" s="48">
        <v>0.65</v>
      </c>
      <c r="J17" s="48">
        <f t="shared" si="9"/>
        <v>1917.5</v>
      </c>
      <c r="K17" s="71"/>
      <c r="L17" s="21"/>
      <c r="M17" s="48"/>
      <c r="N17" s="48">
        <f t="shared" si="10"/>
        <v>0</v>
      </c>
      <c r="O17" s="21"/>
      <c r="P17" s="21"/>
      <c r="Q17" s="48"/>
      <c r="R17" s="48">
        <f t="shared" si="11"/>
        <v>0</v>
      </c>
      <c r="S17" s="48"/>
      <c r="T17" s="48">
        <f t="shared" si="12"/>
        <v>0</v>
      </c>
      <c r="U17" s="48"/>
      <c r="V17" s="48">
        <f t="shared" si="13"/>
        <v>1917.5</v>
      </c>
      <c r="W17" s="74"/>
      <c r="X17" s="36"/>
      <c r="Y17" s="36"/>
      <c r="Z17" s="36"/>
      <c r="AA17" s="36"/>
      <c r="AB17" s="36"/>
      <c r="AC17" s="36"/>
    </row>
    <row r="18" ht="30" customHeight="1" spans="1:33">
      <c r="A18" s="21" t="s">
        <v>179</v>
      </c>
      <c r="B18" s="21" t="s">
        <v>180</v>
      </c>
      <c r="C18" s="21" t="s">
        <v>181</v>
      </c>
      <c r="D18" s="21" t="s">
        <v>182</v>
      </c>
      <c r="E18" s="71">
        <v>1200</v>
      </c>
      <c r="F18" s="71"/>
      <c r="G18" s="71"/>
      <c r="H18" s="71"/>
      <c r="I18" s="48">
        <v>2.564</v>
      </c>
      <c r="J18" s="48">
        <f t="shared" si="9"/>
        <v>3076.8</v>
      </c>
      <c r="K18" s="71"/>
      <c r="L18" s="21"/>
      <c r="M18" s="48"/>
      <c r="N18" s="48">
        <f t="shared" si="10"/>
        <v>0</v>
      </c>
      <c r="O18" s="21"/>
      <c r="P18" s="21"/>
      <c r="Q18" s="48"/>
      <c r="R18" s="48">
        <f t="shared" si="11"/>
        <v>0</v>
      </c>
      <c r="S18" s="48"/>
      <c r="T18" s="48">
        <f t="shared" si="12"/>
        <v>0</v>
      </c>
      <c r="U18" s="48"/>
      <c r="V18" s="48">
        <f t="shared" si="13"/>
        <v>3076.8</v>
      </c>
      <c r="W18" s="74"/>
      <c r="X18" s="36">
        <v>3.8</v>
      </c>
      <c r="Y18" s="76">
        <f>X18*E18</f>
        <v>4560</v>
      </c>
      <c r="Z18" s="36"/>
      <c r="AA18" s="36"/>
      <c r="AB18" s="36"/>
      <c r="AC18" s="36"/>
    </row>
    <row r="19" ht="30" customHeight="1" spans="1:33">
      <c r="A19" s="21" t="s">
        <v>183</v>
      </c>
      <c r="B19" s="21" t="s">
        <v>184</v>
      </c>
      <c r="C19" s="21" t="s">
        <v>185</v>
      </c>
      <c r="D19" s="21" t="s">
        <v>186</v>
      </c>
      <c r="E19" s="71">
        <v>2700</v>
      </c>
      <c r="F19" s="71"/>
      <c r="G19" s="71"/>
      <c r="H19" s="71"/>
      <c r="I19" s="48">
        <v>2.735</v>
      </c>
      <c r="J19" s="48">
        <f t="shared" si="9"/>
        <v>7384.5</v>
      </c>
      <c r="K19" s="71"/>
      <c r="L19" s="21"/>
      <c r="M19" s="48"/>
      <c r="N19" s="48">
        <f t="shared" si="10"/>
        <v>0</v>
      </c>
      <c r="O19" s="21"/>
      <c r="P19" s="21"/>
      <c r="Q19" s="48"/>
      <c r="R19" s="48">
        <f t="shared" si="11"/>
        <v>0</v>
      </c>
      <c r="S19" s="48"/>
      <c r="T19" s="48">
        <f t="shared" si="12"/>
        <v>0</v>
      </c>
      <c r="U19" s="48"/>
      <c r="V19" s="48">
        <f t="shared" si="13"/>
        <v>7384.5</v>
      </c>
      <c r="W19" s="74"/>
      <c r="X19" s="36">
        <v>4.8</v>
      </c>
      <c r="Y19" s="76">
        <f>X19*E19</f>
        <v>12960</v>
      </c>
      <c r="Z19" s="36"/>
      <c r="AA19" s="36"/>
      <c r="AB19" s="36"/>
      <c r="AC19" s="36"/>
    </row>
    <row r="20" ht="30" customHeight="1" spans="1:33">
      <c r="A20" s="21" t="s">
        <v>187</v>
      </c>
      <c r="B20" s="21" t="s">
        <v>188</v>
      </c>
      <c r="C20" s="21" t="s">
        <v>189</v>
      </c>
      <c r="D20" s="21" t="s">
        <v>190</v>
      </c>
      <c r="E20" s="71">
        <v>600</v>
      </c>
      <c r="F20" s="71"/>
      <c r="G20" s="71"/>
      <c r="H20" s="71"/>
      <c r="I20" s="48">
        <v>2.564</v>
      </c>
      <c r="J20" s="48">
        <f t="shared" si="9"/>
        <v>1538.4</v>
      </c>
      <c r="K20" s="71"/>
      <c r="L20" s="21"/>
      <c r="M20" s="48"/>
      <c r="N20" s="48">
        <f t="shared" si="10"/>
        <v>0</v>
      </c>
      <c r="O20" s="21"/>
      <c r="P20" s="21"/>
      <c r="Q20" s="48"/>
      <c r="R20" s="48">
        <f t="shared" si="11"/>
        <v>0</v>
      </c>
      <c r="S20" s="48"/>
      <c r="T20" s="48">
        <f t="shared" si="12"/>
        <v>0</v>
      </c>
      <c r="U20" s="48"/>
      <c r="V20" s="48">
        <f t="shared" si="13"/>
        <v>1538.4</v>
      </c>
      <c r="W20" s="74"/>
      <c r="X20" s="36">
        <v>4.8</v>
      </c>
      <c r="Y20" s="76">
        <f>X20*E20</f>
        <v>2880</v>
      </c>
      <c r="Z20" s="36"/>
      <c r="AA20" s="36"/>
      <c r="AB20" s="36"/>
      <c r="AC20" s="36"/>
    </row>
    <row r="21" ht="30" customHeight="1" spans="1:33">
      <c r="A21" s="106" t="s">
        <v>191</v>
      </c>
      <c r="B21" s="107"/>
      <c r="C21" s="107"/>
      <c r="D21" s="107"/>
      <c r="E21" s="107"/>
      <c r="F21" s="107"/>
      <c r="G21" s="107"/>
      <c r="H21" s="107"/>
      <c r="I21" s="108"/>
      <c r="J21" s="109">
        <f>SUM(J15:J20)</f>
        <v>16533.2</v>
      </c>
      <c r="K21" s="110"/>
      <c r="L21" s="111"/>
      <c r="M21" s="109"/>
      <c r="N21" s="109">
        <f>SUM(N15:N20)</f>
        <v>0</v>
      </c>
      <c r="O21" s="111"/>
      <c r="P21" s="111"/>
      <c r="Q21" s="109"/>
      <c r="R21" s="109">
        <f>SUM(R15:R20)</f>
        <v>0</v>
      </c>
      <c r="S21" s="109"/>
      <c r="T21" s="109">
        <f>SUM(T15:T20)</f>
        <v>0</v>
      </c>
      <c r="U21" s="109"/>
      <c r="V21" s="109">
        <f>SUM(V15:V20)</f>
        <v>16533.2</v>
      </c>
      <c r="W21" s="87"/>
      <c r="X21" s="36"/>
      <c r="Y21" s="36"/>
      <c r="Z21" s="36"/>
      <c r="AA21" s="36"/>
      <c r="AB21" s="36"/>
      <c r="AC21" s="36"/>
    </row>
    <row r="22" ht="30" customHeight="1" spans="1:33">
      <c r="A22" s="112" t="s">
        <v>192</v>
      </c>
      <c r="B22" s="113"/>
      <c r="C22" s="113"/>
      <c r="D22" s="113"/>
      <c r="E22" s="113"/>
      <c r="F22" s="113"/>
      <c r="G22" s="113"/>
      <c r="H22" s="113"/>
      <c r="I22" s="114"/>
      <c r="J22" s="115">
        <f>SUM(J21,J14)</f>
        <v>169649.3</v>
      </c>
      <c r="K22" s="116"/>
      <c r="L22" s="117"/>
      <c r="M22" s="115"/>
      <c r="N22" s="115">
        <f>SUM(N21,N14)</f>
        <v>2019.25</v>
      </c>
      <c r="O22" s="117"/>
      <c r="P22" s="117"/>
      <c r="Q22" s="115"/>
      <c r="R22" s="115">
        <f>SUM(R21,R14)</f>
        <v>3230.8</v>
      </c>
      <c r="S22" s="115"/>
      <c r="T22" s="115">
        <f>SUM(T21,T14)</f>
        <v>3876.96</v>
      </c>
      <c r="U22" s="115"/>
      <c r="V22" s="115">
        <f>SUM(V21,V14)</f>
        <v>19602.46</v>
      </c>
      <c r="W22" s="87"/>
      <c r="X22" s="36"/>
      <c r="Y22" s="36"/>
      <c r="Z22" s="36"/>
      <c r="AA22" s="36"/>
      <c r="AB22" s="36"/>
      <c r="AC22" s="36"/>
    </row>
    <row r="23" ht="11.25" customHeight="1" spans="1:33">
      <c r="A23" s="45" t="s">
        <v>193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S23" s="36"/>
      <c r="T23" s="77"/>
      <c r="W23" s="77"/>
      <c r="X23" s="77"/>
      <c r="Y23" s="77"/>
      <c r="Z23" s="77"/>
      <c r="AA23" s="77"/>
    </row>
    <row r="25" ht="31.5" hidden="1" customHeight="1" spans="1:33">
      <c r="B25" s="118" t="s">
        <v>194</v>
      </c>
      <c r="C25" s="118"/>
      <c r="D25" s="118"/>
      <c r="E25" s="118"/>
      <c r="F25" s="118"/>
      <c r="G25" s="118"/>
      <c r="H25" s="118"/>
      <c r="I25" s="118"/>
      <c r="J25" s="119"/>
      <c r="K25" s="119"/>
      <c r="L25" s="119"/>
      <c r="M25" s="119"/>
      <c r="N25" s="119"/>
      <c r="O25" s="119"/>
    </row>
    <row r="26" ht="30" hidden="1" customHeight="1" spans="1:33">
      <c r="B26" s="36" t="s">
        <v>195</v>
      </c>
      <c r="C26" s="36" t="s">
        <v>196</v>
      </c>
      <c r="E26" s="52">
        <v>1666</v>
      </c>
      <c r="I26" s="53">
        <f>I12+I5+I4+I7+I8+I9+I10</f>
        <v>40.385</v>
      </c>
      <c r="P26" s="53">
        <f>I26*E26</f>
        <v>67281.41</v>
      </c>
      <c r="S26" s="53">
        <f>I26+I19</f>
        <v>43.12</v>
      </c>
      <c r="T26" s="53">
        <f>S26*E26</f>
        <v>71837.92</v>
      </c>
      <c r="W26" s="53">
        <f>T26-P26</f>
        <v>4556.50999999999</v>
      </c>
    </row>
    <row r="27" ht="30" hidden="1" customHeight="1" spans="1:33">
      <c r="B27" s="36" t="s">
        <v>197</v>
      </c>
      <c r="C27" s="36" t="s">
        <v>198</v>
      </c>
      <c r="E27" s="52">
        <v>1226</v>
      </c>
      <c r="I27" s="53">
        <f>I11+I6+I7</f>
        <v>19.829</v>
      </c>
      <c r="P27" s="53">
        <f>I27*E27</f>
        <v>24310.354</v>
      </c>
      <c r="S27" s="53">
        <f>I27+I18</f>
        <v>22.393</v>
      </c>
      <c r="T27" s="53">
        <f>S27*E27</f>
        <v>27453.818</v>
      </c>
      <c r="W27" s="53">
        <f>T27-P27</f>
        <v>3143.464</v>
      </c>
    </row>
    <row r="28" ht="30" hidden="1" customHeight="1" spans="1:33">
      <c r="B28" s="36" t="s">
        <v>199</v>
      </c>
      <c r="C28" s="36" t="s">
        <v>200</v>
      </c>
      <c r="E28" s="52">
        <v>600</v>
      </c>
      <c r="I28" s="53">
        <f>I13+I4+I5+I7+I8+I9+I10</f>
        <v>33.803</v>
      </c>
      <c r="P28" s="53">
        <f t="shared" ref="P28" si="14">I28*E28</f>
        <v>20281.8</v>
      </c>
      <c r="S28" s="53">
        <f>I28+I20</f>
        <v>36.367</v>
      </c>
      <c r="T28" s="53">
        <f>S28*E28</f>
        <v>21820.2</v>
      </c>
      <c r="W28" s="53">
        <f>T28-P28</f>
        <v>1538.4</v>
      </c>
    </row>
    <row r="29" hidden="1" spans="1:33">
      <c r="P29" s="52">
        <f>SUM(P26:P28)</f>
        <v>111873.564</v>
      </c>
      <c r="T29" s="53">
        <f>SUM(T26:T28)</f>
        <v>121111.938</v>
      </c>
      <c r="W29" s="53">
        <f>SUM(W26:W28)</f>
        <v>9238.374</v>
      </c>
    </row>
    <row r="30" ht="23.25" hidden="1" customHeight="1" spans="1:33">
      <c r="B30" s="120" t="s">
        <v>201</v>
      </c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</row>
    <row r="31" ht="24.95" hidden="1" customHeight="1" spans="1:33">
      <c r="B31" s="56" t="s">
        <v>119</v>
      </c>
      <c r="C31" s="56" t="s">
        <v>120</v>
      </c>
      <c r="D31" s="56" t="s">
        <v>42</v>
      </c>
      <c r="E31" s="58" t="s">
        <v>125</v>
      </c>
      <c r="F31" s="121"/>
      <c r="G31" s="121"/>
      <c r="H31" s="121"/>
      <c r="I31" s="122" t="s">
        <v>129</v>
      </c>
      <c r="J31" s="123"/>
      <c r="K31" s="123"/>
      <c r="L31" s="123"/>
      <c r="M31" s="123"/>
      <c r="N31" s="123"/>
      <c r="O31" s="123"/>
      <c r="P31" s="124"/>
      <c r="Q31" s="125" t="s">
        <v>131</v>
      </c>
      <c r="R31" s="100"/>
      <c r="S31" s="100"/>
      <c r="T31" s="100"/>
      <c r="U31" s="100"/>
      <c r="V31" s="62"/>
      <c r="Y31" s="36"/>
      <c r="Z31" s="36"/>
      <c r="AD31" s="53"/>
      <c r="AE31" s="53"/>
      <c r="AF31" s="53"/>
      <c r="AG31" s="53"/>
    </row>
    <row r="32" ht="24.95" hidden="1" customHeight="1" spans="1:33">
      <c r="B32" s="65"/>
      <c r="C32" s="65"/>
      <c r="D32" s="65"/>
      <c r="E32" s="67"/>
      <c r="F32" s="67"/>
      <c r="G32" s="67"/>
      <c r="H32" s="67"/>
      <c r="I32" s="66" t="s">
        <v>202</v>
      </c>
      <c r="J32" s="66" t="s">
        <v>203</v>
      </c>
      <c r="K32" s="66" t="s">
        <v>204</v>
      </c>
      <c r="L32" s="66" t="s">
        <v>205</v>
      </c>
      <c r="M32" s="66" t="s">
        <v>206</v>
      </c>
      <c r="N32" s="66" t="s">
        <v>207</v>
      </c>
      <c r="O32" s="66" t="s">
        <v>208</v>
      </c>
      <c r="P32" s="126" t="s">
        <v>126</v>
      </c>
      <c r="Q32" s="127" t="s">
        <v>209</v>
      </c>
      <c r="R32" s="63" t="s">
        <v>210</v>
      </c>
      <c r="S32" s="63" t="s">
        <v>211</v>
      </c>
      <c r="T32" s="63" t="s">
        <v>212</v>
      </c>
      <c r="U32" s="128" t="s">
        <v>121</v>
      </c>
      <c r="V32" s="63" t="s">
        <v>126</v>
      </c>
      <c r="Y32" s="36"/>
      <c r="Z32" s="36"/>
      <c r="AD32" s="53"/>
      <c r="AE32" s="53"/>
      <c r="AF32" s="53"/>
      <c r="AG32" s="53"/>
    </row>
    <row r="33" ht="24.95" hidden="1" customHeight="1" spans="2:33">
      <c r="B33" s="21" t="s">
        <v>135</v>
      </c>
      <c r="C33" s="21" t="s">
        <v>136</v>
      </c>
      <c r="D33" s="21" t="s">
        <v>137</v>
      </c>
      <c r="E33" s="48">
        <v>2.906</v>
      </c>
      <c r="F33" s="48"/>
      <c r="G33" s="48"/>
      <c r="H33" s="48"/>
      <c r="I33" s="71">
        <f>SUM(J33:O33)</f>
        <v>715</v>
      </c>
      <c r="J33" s="71">
        <f>60+50</f>
        <v>110</v>
      </c>
      <c r="K33" s="71">
        <f>160+240</f>
        <v>400</v>
      </c>
      <c r="L33" s="71">
        <v>86</v>
      </c>
      <c r="M33" s="71">
        <v>44</v>
      </c>
      <c r="N33" s="71">
        <v>53</v>
      </c>
      <c r="O33" s="71">
        <v>22</v>
      </c>
      <c r="P33" s="129">
        <f t="shared" ref="P33:P42" si="15">E33*I33</f>
        <v>2077.79</v>
      </c>
      <c r="Q33" s="130">
        <v>36</v>
      </c>
      <c r="R33" s="71">
        <v>20</v>
      </c>
      <c r="S33" s="71">
        <v>10</v>
      </c>
      <c r="T33" s="71">
        <v>30</v>
      </c>
      <c r="U33" s="131">
        <f>36+20+10+30</f>
        <v>96</v>
      </c>
      <c r="V33" s="132">
        <f>U33*E33</f>
        <v>278.976</v>
      </c>
      <c r="Y33" s="36"/>
      <c r="Z33" s="36"/>
      <c r="AD33" s="53"/>
      <c r="AE33" s="53"/>
      <c r="AF33" s="53"/>
      <c r="AG33" s="53"/>
    </row>
    <row r="34" ht="24.95" hidden="1" customHeight="1" spans="2:33">
      <c r="B34" s="21" t="s">
        <v>139</v>
      </c>
      <c r="C34" s="21" t="s">
        <v>140</v>
      </c>
      <c r="D34" s="21" t="s">
        <v>137</v>
      </c>
      <c r="E34" s="48">
        <v>3.59</v>
      </c>
      <c r="F34" s="48"/>
      <c r="G34" s="48"/>
      <c r="H34" s="48"/>
      <c r="I34" s="71">
        <f t="shared" ref="I34:I42" si="16">SUM(J34:O34)</f>
        <v>715</v>
      </c>
      <c r="J34" s="71">
        <f t="shared" ref="J34:J41" si="17">60+50</f>
        <v>110</v>
      </c>
      <c r="K34" s="71">
        <f t="shared" ref="K34:K41" si="18">160+240</f>
        <v>400</v>
      </c>
      <c r="L34" s="71">
        <v>86</v>
      </c>
      <c r="M34" s="71">
        <v>44</v>
      </c>
      <c r="N34" s="71">
        <v>53</v>
      </c>
      <c r="O34" s="71">
        <v>22</v>
      </c>
      <c r="P34" s="129">
        <f t="shared" si="15"/>
        <v>2566.85</v>
      </c>
      <c r="Q34" s="130">
        <v>36</v>
      </c>
      <c r="R34" s="71">
        <v>20</v>
      </c>
      <c r="S34" s="71">
        <v>10</v>
      </c>
      <c r="T34" s="71">
        <v>30</v>
      </c>
      <c r="U34" s="131">
        <v>96</v>
      </c>
      <c r="V34" s="132">
        <f>U34*E34</f>
        <v>344.64</v>
      </c>
      <c r="Y34" s="36"/>
      <c r="Z34" s="36"/>
      <c r="AD34" s="53"/>
      <c r="AE34" s="53"/>
      <c r="AF34" s="53"/>
      <c r="AG34" s="53"/>
    </row>
    <row r="35" ht="24.95" hidden="1" customHeight="1" spans="2:33">
      <c r="B35" s="21" t="s">
        <v>142</v>
      </c>
      <c r="C35" s="21" t="s">
        <v>143</v>
      </c>
      <c r="D35" s="21" t="s">
        <v>137</v>
      </c>
      <c r="E35" s="48">
        <v>3.248</v>
      </c>
      <c r="F35" s="48"/>
      <c r="G35" s="48"/>
      <c r="H35" s="48"/>
      <c r="I35" s="71">
        <f t="shared" si="16"/>
        <v>0</v>
      </c>
      <c r="J35" s="71"/>
      <c r="K35" s="71"/>
      <c r="L35" s="71"/>
      <c r="M35" s="71"/>
      <c r="N35" s="71"/>
      <c r="O35" s="71"/>
      <c r="P35" s="129">
        <f t="shared" si="15"/>
        <v>0</v>
      </c>
      <c r="Q35" s="130"/>
      <c r="R35" s="71"/>
      <c r="S35" s="71"/>
      <c r="T35" s="71"/>
      <c r="U35" s="131"/>
      <c r="V35" s="132"/>
      <c r="Y35" s="36"/>
      <c r="Z35" s="36"/>
      <c r="AD35" s="53"/>
      <c r="AE35" s="53"/>
      <c r="AF35" s="53"/>
      <c r="AG35" s="53"/>
    </row>
    <row r="36" ht="24.95" hidden="1" customHeight="1" spans="2:33">
      <c r="B36" s="21" t="s">
        <v>145</v>
      </c>
      <c r="C36" s="21" t="s">
        <v>146</v>
      </c>
      <c r="D36" s="21" t="s">
        <v>137</v>
      </c>
      <c r="E36" s="48">
        <v>3.504</v>
      </c>
      <c r="F36" s="48"/>
      <c r="G36" s="48"/>
      <c r="H36" s="48"/>
      <c r="I36" s="71">
        <f t="shared" si="16"/>
        <v>715</v>
      </c>
      <c r="J36" s="71">
        <f t="shared" si="17"/>
        <v>110</v>
      </c>
      <c r="K36" s="71">
        <f t="shared" si="18"/>
        <v>400</v>
      </c>
      <c r="L36" s="71">
        <v>86</v>
      </c>
      <c r="M36" s="71">
        <v>44</v>
      </c>
      <c r="N36" s="71">
        <v>53</v>
      </c>
      <c r="O36" s="71">
        <v>22</v>
      </c>
      <c r="P36" s="129">
        <f t="shared" si="15"/>
        <v>2505.36</v>
      </c>
      <c r="Q36" s="130">
        <v>36</v>
      </c>
      <c r="R36" s="71">
        <v>20</v>
      </c>
      <c r="S36" s="71">
        <v>10</v>
      </c>
      <c r="T36" s="71">
        <v>30</v>
      </c>
      <c r="U36" s="131">
        <v>96</v>
      </c>
      <c r="V36" s="132">
        <f t="shared" ref="V36:V41" si="19">U36*E36</f>
        <v>336.384</v>
      </c>
      <c r="Y36" s="36"/>
      <c r="Z36" s="36"/>
      <c r="AD36" s="53"/>
      <c r="AE36" s="53"/>
      <c r="AF36" s="53"/>
      <c r="AG36" s="53"/>
    </row>
    <row r="37" ht="24.95" hidden="1" customHeight="1" spans="2:33">
      <c r="B37" s="21" t="s">
        <v>148</v>
      </c>
      <c r="C37" s="21" t="s">
        <v>149</v>
      </c>
      <c r="D37" s="21" t="s">
        <v>137</v>
      </c>
      <c r="E37" s="48">
        <v>2.564</v>
      </c>
      <c r="F37" s="48"/>
      <c r="G37" s="48"/>
      <c r="H37" s="48"/>
      <c r="I37" s="71">
        <f t="shared" si="16"/>
        <v>715</v>
      </c>
      <c r="J37" s="71">
        <f t="shared" si="17"/>
        <v>110</v>
      </c>
      <c r="K37" s="71">
        <f t="shared" si="18"/>
        <v>400</v>
      </c>
      <c r="L37" s="71">
        <v>86</v>
      </c>
      <c r="M37" s="71">
        <v>44</v>
      </c>
      <c r="N37" s="71">
        <v>53</v>
      </c>
      <c r="O37" s="71">
        <v>22</v>
      </c>
      <c r="P37" s="129">
        <f t="shared" si="15"/>
        <v>1833.26</v>
      </c>
      <c r="Q37" s="130">
        <v>36</v>
      </c>
      <c r="R37" s="71">
        <v>20</v>
      </c>
      <c r="S37" s="71">
        <v>10</v>
      </c>
      <c r="T37" s="71">
        <v>30</v>
      </c>
      <c r="U37" s="131">
        <v>96</v>
      </c>
      <c r="V37" s="132">
        <f t="shared" si="19"/>
        <v>246.144</v>
      </c>
      <c r="Y37" s="36"/>
      <c r="Z37" s="36"/>
      <c r="AD37" s="53"/>
      <c r="AE37" s="53"/>
      <c r="AF37" s="53"/>
      <c r="AG37" s="53"/>
    </row>
    <row r="38" ht="24.95" hidden="1" customHeight="1" spans="2:33">
      <c r="B38" s="21" t="s">
        <v>151</v>
      </c>
      <c r="C38" s="21" t="s">
        <v>152</v>
      </c>
      <c r="D38" s="21" t="s">
        <v>137</v>
      </c>
      <c r="E38" s="48">
        <v>3.547</v>
      </c>
      <c r="F38" s="48"/>
      <c r="G38" s="48"/>
      <c r="H38" s="48"/>
      <c r="I38" s="71">
        <f t="shared" si="16"/>
        <v>715</v>
      </c>
      <c r="J38" s="71">
        <f t="shared" si="17"/>
        <v>110</v>
      </c>
      <c r="K38" s="71">
        <f t="shared" si="18"/>
        <v>400</v>
      </c>
      <c r="L38" s="71">
        <v>86</v>
      </c>
      <c r="M38" s="71">
        <v>44</v>
      </c>
      <c r="N38" s="71">
        <v>53</v>
      </c>
      <c r="O38" s="71">
        <v>22</v>
      </c>
      <c r="P38" s="129">
        <f t="shared" si="15"/>
        <v>2536.105</v>
      </c>
      <c r="Q38" s="130">
        <v>36</v>
      </c>
      <c r="R38" s="71">
        <v>20</v>
      </c>
      <c r="S38" s="71">
        <v>10</v>
      </c>
      <c r="T38" s="71">
        <v>30</v>
      </c>
      <c r="U38" s="131">
        <v>96</v>
      </c>
      <c r="V38" s="132">
        <f t="shared" si="19"/>
        <v>340.512</v>
      </c>
      <c r="Y38" s="36"/>
      <c r="Z38" s="36"/>
      <c r="AD38" s="53"/>
      <c r="AE38" s="53"/>
      <c r="AF38" s="53"/>
      <c r="AG38" s="53"/>
    </row>
    <row r="39" ht="24.95" hidden="1" customHeight="1" spans="2:33">
      <c r="B39" s="21" t="s">
        <v>154</v>
      </c>
      <c r="C39" s="21" t="s">
        <v>155</v>
      </c>
      <c r="D39" s="21" t="s">
        <v>137</v>
      </c>
      <c r="E39" s="48">
        <v>2.906</v>
      </c>
      <c r="F39" s="48"/>
      <c r="G39" s="48"/>
      <c r="H39" s="48"/>
      <c r="I39" s="71">
        <f t="shared" si="16"/>
        <v>715</v>
      </c>
      <c r="J39" s="71">
        <f t="shared" si="17"/>
        <v>110</v>
      </c>
      <c r="K39" s="71">
        <f t="shared" si="18"/>
        <v>400</v>
      </c>
      <c r="L39" s="71">
        <v>86</v>
      </c>
      <c r="M39" s="71">
        <v>44</v>
      </c>
      <c r="N39" s="71">
        <v>53</v>
      </c>
      <c r="O39" s="71">
        <v>22</v>
      </c>
      <c r="P39" s="129">
        <f t="shared" si="15"/>
        <v>2077.79</v>
      </c>
      <c r="Q39" s="130">
        <v>36</v>
      </c>
      <c r="R39" s="71">
        <v>20</v>
      </c>
      <c r="S39" s="71">
        <v>10</v>
      </c>
      <c r="T39" s="71">
        <v>30</v>
      </c>
      <c r="U39" s="131">
        <v>96</v>
      </c>
      <c r="V39" s="132">
        <f t="shared" si="19"/>
        <v>278.976</v>
      </c>
      <c r="Y39" s="36"/>
      <c r="Z39" s="36"/>
      <c r="AD39" s="53"/>
      <c r="AE39" s="53"/>
      <c r="AF39" s="53"/>
      <c r="AG39" s="53"/>
    </row>
    <row r="40" ht="24.95" hidden="1" customHeight="1" spans="2:33">
      <c r="B40" s="21" t="s">
        <v>157</v>
      </c>
      <c r="C40" s="21" t="s">
        <v>158</v>
      </c>
      <c r="D40" s="21" t="s">
        <v>159</v>
      </c>
      <c r="E40" s="48">
        <v>13.077</v>
      </c>
      <c r="F40" s="48"/>
      <c r="G40" s="48"/>
      <c r="H40" s="48"/>
      <c r="I40" s="71">
        <f t="shared" si="16"/>
        <v>0</v>
      </c>
      <c r="J40" s="71"/>
      <c r="K40" s="71"/>
      <c r="L40" s="71"/>
      <c r="M40" s="71"/>
      <c r="N40" s="71"/>
      <c r="O40" s="71"/>
      <c r="P40" s="129">
        <f t="shared" si="15"/>
        <v>0</v>
      </c>
      <c r="Q40" s="130"/>
      <c r="R40" s="71"/>
      <c r="S40" s="71"/>
      <c r="T40" s="71"/>
      <c r="U40" s="131"/>
      <c r="V40" s="132">
        <f t="shared" si="19"/>
        <v>0</v>
      </c>
      <c r="Y40" s="36"/>
      <c r="Z40" s="36"/>
      <c r="AD40" s="53"/>
      <c r="AE40" s="53"/>
      <c r="AF40" s="53"/>
      <c r="AG40" s="53"/>
    </row>
    <row r="41" ht="24.95" hidden="1" customHeight="1" spans="2:33">
      <c r="B41" s="21" t="s">
        <v>161</v>
      </c>
      <c r="C41" s="21" t="s">
        <v>162</v>
      </c>
      <c r="D41" s="21" t="s">
        <v>159</v>
      </c>
      <c r="E41" s="48">
        <v>21.368</v>
      </c>
      <c r="F41" s="48"/>
      <c r="G41" s="48"/>
      <c r="H41" s="48"/>
      <c r="I41" s="71">
        <f t="shared" si="16"/>
        <v>715</v>
      </c>
      <c r="J41" s="71">
        <f t="shared" si="17"/>
        <v>110</v>
      </c>
      <c r="K41" s="71">
        <f t="shared" si="18"/>
        <v>400</v>
      </c>
      <c r="L41" s="71">
        <v>86</v>
      </c>
      <c r="M41" s="71">
        <v>44</v>
      </c>
      <c r="N41" s="71">
        <v>53</v>
      </c>
      <c r="O41" s="71">
        <v>22</v>
      </c>
      <c r="P41" s="129">
        <f t="shared" si="15"/>
        <v>15278.12</v>
      </c>
      <c r="Q41" s="130">
        <v>36</v>
      </c>
      <c r="R41" s="71">
        <v>20</v>
      </c>
      <c r="S41" s="71">
        <v>10</v>
      </c>
      <c r="T41" s="71">
        <v>30</v>
      </c>
      <c r="U41" s="131">
        <v>96</v>
      </c>
      <c r="V41" s="132">
        <f t="shared" si="19"/>
        <v>2051.328</v>
      </c>
      <c r="Y41" s="36"/>
      <c r="Z41" s="36"/>
      <c r="AD41" s="53"/>
      <c r="AE41" s="53"/>
      <c r="AF41" s="53"/>
      <c r="AG41" s="53"/>
    </row>
    <row r="42" ht="24.95" hidden="1" customHeight="1" spans="2:33">
      <c r="B42" s="21" t="s">
        <v>164</v>
      </c>
      <c r="C42" s="21" t="s">
        <v>165</v>
      </c>
      <c r="D42" s="21" t="s">
        <v>159</v>
      </c>
      <c r="E42" s="48">
        <v>14.786</v>
      </c>
      <c r="F42" s="48"/>
      <c r="G42" s="48"/>
      <c r="H42" s="48"/>
      <c r="I42" s="71">
        <f t="shared" si="16"/>
        <v>0</v>
      </c>
      <c r="J42" s="71"/>
      <c r="K42" s="71"/>
      <c r="L42" s="71"/>
      <c r="M42" s="71"/>
      <c r="N42" s="71"/>
      <c r="O42" s="71"/>
      <c r="P42" s="129">
        <f t="shared" si="15"/>
        <v>0</v>
      </c>
      <c r="Q42" s="130"/>
      <c r="R42" s="71"/>
      <c r="S42" s="71"/>
      <c r="T42" s="71"/>
      <c r="U42" s="131"/>
      <c r="V42" s="48"/>
      <c r="Y42" s="36"/>
      <c r="Z42" s="36"/>
      <c r="AD42" s="53"/>
      <c r="AE42" s="53"/>
      <c r="AF42" s="53"/>
      <c r="AG42" s="53"/>
    </row>
    <row r="43" ht="24.95" hidden="1" customHeight="1" spans="2:33">
      <c r="B43" s="59" t="s">
        <v>20</v>
      </c>
      <c r="C43" s="133"/>
      <c r="D43" s="133"/>
      <c r="E43" s="133"/>
      <c r="F43" s="133"/>
      <c r="G43" s="133"/>
      <c r="H43" s="133"/>
      <c r="I43" s="60"/>
      <c r="J43" s="48">
        <f t="array" ref="J43">SUM(J33:J42*$E$33:$E$42)</f>
        <v>4442.35</v>
      </c>
      <c r="K43" s="48">
        <f t="array" ref="K43">SUM(K33:K42*$E$33:$E$42)</f>
        <v>16154</v>
      </c>
      <c r="L43" s="48">
        <f t="array" ref="L43">SUM(L33:L42*$E$33:$E$42)</f>
        <v>3473.11</v>
      </c>
      <c r="M43" s="48">
        <f t="array" ref="M43">SUM(M33:M42*$E$33:$E$42)</f>
        <v>1776.94</v>
      </c>
      <c r="N43" s="48">
        <f t="array" ref="N43">SUM(N33:N42*$E$33:$E$42)</f>
        <v>2140.405</v>
      </c>
      <c r="O43" s="48">
        <f t="array" ref="O43">SUM(O33:O42*$E$33:$E$42)</f>
        <v>888.47</v>
      </c>
      <c r="P43" s="129">
        <f>SUM(P33:P42)</f>
        <v>28875.275</v>
      </c>
      <c r="Q43" s="134">
        <f t="array" ref="Q43">SUM(Q33:Q42*$E$33:$E$42)</f>
        <v>1453.86</v>
      </c>
      <c r="R43" s="48">
        <f t="array" ref="R43">SUM(R33:R42*$E$33:$E$42)</f>
        <v>807.7</v>
      </c>
      <c r="S43" s="48">
        <f t="array" ref="S43">SUM(S33:S42*$E$33:$E$42)</f>
        <v>403.85</v>
      </c>
      <c r="T43" s="48">
        <f t="array" ref="T43">SUM(T33:T42*$E$33:$E$42)</f>
        <v>1211.55</v>
      </c>
      <c r="U43" s="135"/>
      <c r="V43" s="84">
        <f>SUM(V33:V42)</f>
        <v>3876.96</v>
      </c>
      <c r="Y43" s="36"/>
      <c r="Z43" s="36"/>
      <c r="AD43" s="53"/>
      <c r="AE43" s="53"/>
      <c r="AF43" s="53"/>
      <c r="AG43" s="53"/>
    </row>
    <row r="44" s="101" customFormat="1" ht="16.5" hidden="1" customHeight="1" spans="2:33">
      <c r="B44" s="136" t="s">
        <v>213</v>
      </c>
      <c r="C44" s="136"/>
      <c r="D44" s="136"/>
      <c r="E44" s="136"/>
      <c r="F44" s="136"/>
      <c r="G44" s="136"/>
      <c r="H44" s="136"/>
      <c r="I44" s="136"/>
      <c r="J44" s="136"/>
      <c r="K44" s="136"/>
      <c r="L44" s="136"/>
      <c r="M44" s="137"/>
      <c r="N44" s="137"/>
      <c r="O44" s="137"/>
      <c r="P44" s="137"/>
      <c r="Q44" s="138"/>
      <c r="S44" s="137"/>
      <c r="T44" s="137"/>
      <c r="W44" s="137"/>
      <c r="X44" s="137"/>
      <c r="Y44" s="137"/>
      <c r="Z44" s="137"/>
      <c r="AA44" s="137"/>
      <c r="AB44" s="137"/>
      <c r="AC44" s="137"/>
    </row>
    <row r="46" ht="17.25" customHeight="1" spans="2:33">
      <c r="L46" s="139" t="s">
        <v>214</v>
      </c>
      <c r="M46" s="139"/>
      <c r="N46" s="139"/>
      <c r="O46" s="139"/>
    </row>
    <row r="47" ht="24.95" customHeight="1" spans="2:33">
      <c r="L47" s="48" t="s">
        <v>215</v>
      </c>
      <c r="M47" s="63" t="s">
        <v>216</v>
      </c>
      <c r="N47" s="63" t="s">
        <v>217</v>
      </c>
      <c r="O47" s="68" t="s">
        <v>218</v>
      </c>
    </row>
    <row r="48" ht="24.95" customHeight="1" spans="2:33">
      <c r="L48" s="48" t="s">
        <v>122</v>
      </c>
      <c r="M48" s="48">
        <v>138</v>
      </c>
      <c r="N48" s="48">
        <f>+O11+Q11+S11</f>
        <v>0</v>
      </c>
      <c r="O48" s="48"/>
    </row>
    <row r="49" ht="24.95" customHeight="1" spans="12:15">
      <c r="L49" s="48" t="s">
        <v>123</v>
      </c>
      <c r="M49" s="48">
        <v>298</v>
      </c>
      <c r="N49" s="48">
        <f>+O12+Q12+S12</f>
        <v>891</v>
      </c>
      <c r="O49" s="140">
        <f>+N49*M49/1.17*0.17</f>
        <v>38579.5384615385</v>
      </c>
    </row>
    <row r="50" ht="24.95" customHeight="1" spans="12:15">
      <c r="L50" s="48" t="s">
        <v>124</v>
      </c>
      <c r="M50" s="48">
        <v>218</v>
      </c>
      <c r="N50" s="48">
        <f>+O13+Q13+S13</f>
        <v>0</v>
      </c>
      <c r="O50" s="48"/>
    </row>
  </sheetData>
  <mergeCells count="31">
    <mergeCell ref="A1:V1"/>
    <mergeCell ref="K2:L2"/>
    <mergeCell ref="M2:N2"/>
    <mergeCell ref="O2:P2"/>
    <mergeCell ref="Q2:R2"/>
    <mergeCell ref="S2:T2"/>
    <mergeCell ref="U2:V2"/>
    <mergeCell ref="A21:I21"/>
    <mergeCell ref="A22:I22"/>
    <mergeCell ref="A23:P23"/>
    <mergeCell ref="B25:I25"/>
    <mergeCell ref="B30:N30"/>
    <mergeCell ref="I31:P31"/>
    <mergeCell ref="Q31:V31"/>
    <mergeCell ref="B43:I43"/>
    <mergeCell ref="B44:L44"/>
    <mergeCell ref="L46:O46"/>
    <mergeCell ref="A2:A3"/>
    <mergeCell ref="B2:B3"/>
    <mergeCell ref="B31:B32"/>
    <mergeCell ref="C2:C3"/>
    <mergeCell ref="C31:C32"/>
    <mergeCell ref="D2:D3"/>
    <mergeCell ref="D31:D32"/>
    <mergeCell ref="E2:E3"/>
    <mergeCell ref="E31:E32"/>
    <mergeCell ref="F2:F3"/>
    <mergeCell ref="G2:G3"/>
    <mergeCell ref="H2:H3"/>
    <mergeCell ref="I2:I3"/>
    <mergeCell ref="J2:J3"/>
  </mergeCells>
  <printOptions horizontalCentered="1"/>
  <pageMargins left="0" right="0" top="0.393700787401575" bottom="0.393700787401575" header="0.511811023622047" footer="0.078740157480315"/>
  <pageSetup paperSize="9" scale="50" orientation="landscape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39"/>
  <sheetViews>
    <sheetView showGridLines="0" zoomScale="80" zoomScaleNormal="80" topLeftCell="B1" workbookViewId="0">
      <pane ySplit="3" topLeftCell="A23" activePane="bottomLeft" state="frozen"/>
      <selection/>
      <selection pane="bottomLeft" activeCell="K36" sqref="K36"/>
    </sheetView>
  </sheetViews>
  <sheetFormatPr defaultColWidth="9" defaultRowHeight="10.8"/>
  <cols>
    <col min="1" max="1" width="8.62962962962963" style="36" customWidth="1"/>
    <col min="2" max="2" width="14.75" style="36" customWidth="1"/>
    <col min="3" max="3" width="22" style="36" customWidth="1"/>
    <col min="4" max="4" width="11.8796296296296" style="36" customWidth="1"/>
    <col min="5" max="5" width="8.37962962962963" style="52" customWidth="1"/>
    <col min="6" max="9" width="12.3796296296296" style="52" customWidth="1"/>
    <col min="10" max="10" width="8.37962962962963" style="53" customWidth="1"/>
    <col min="11" max="11" width="14" style="53" customWidth="1"/>
    <col min="12" max="12" width="9.75" style="53" customWidth="1"/>
    <col min="13" max="13" width="13.3796296296296" style="53" customWidth="1"/>
    <col min="14" max="14" width="9.37962962962963" style="53" customWidth="1"/>
    <col min="15" max="15" width="11.3796296296296" style="53" customWidth="1"/>
    <col min="16" max="16" width="11.6296296296296" style="53" customWidth="1"/>
    <col min="17" max="17" width="13.75" style="53" customWidth="1"/>
    <col min="18" max="18" width="11.3796296296296" style="52" customWidth="1"/>
    <col min="19" max="19" width="11.3796296296296" style="36" customWidth="1"/>
    <col min="20" max="20" width="12" style="53" customWidth="1"/>
    <col min="21" max="21" width="12.6296296296296" style="53" customWidth="1"/>
    <col min="22" max="22" width="10.1296296296296" style="36" customWidth="1"/>
    <col min="23" max="23" width="13.3796296296296" style="47" customWidth="1"/>
    <col min="24" max="24" width="10.1296296296296" style="53" customWidth="1"/>
    <col min="25" max="25" width="12.3796296296296" style="53" customWidth="1"/>
    <col min="26" max="26" width="10.1296296296296" style="53" customWidth="1"/>
    <col min="27" max="27" width="12.6296296296296" style="53" customWidth="1"/>
    <col min="28" max="28" width="10.1296296296296" style="53" customWidth="1"/>
    <col min="29" max="29" width="13.25" style="53" customWidth="1"/>
    <col min="30" max="30" width="7.12962962962963" style="53" hidden="1" customWidth="1"/>
    <col min="31" max="32" width="9" style="36" hidden="1" customWidth="1"/>
    <col min="33" max="16384" width="9" style="36"/>
  </cols>
  <sheetData>
    <row r="1" ht="39" customHeight="1" spans="1:30">
      <c r="A1" s="54" t="s">
        <v>219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5"/>
      <c r="Y1" s="55"/>
      <c r="Z1" s="55"/>
      <c r="AA1" s="55"/>
      <c r="AB1" s="55"/>
      <c r="AC1" s="55"/>
      <c r="AD1" s="37"/>
    </row>
    <row r="2" ht="26.25" customHeight="1" spans="1:30">
      <c r="A2" s="56" t="s">
        <v>118</v>
      </c>
      <c r="B2" s="56" t="s">
        <v>119</v>
      </c>
      <c r="C2" s="56" t="s">
        <v>120</v>
      </c>
      <c r="D2" s="56" t="s">
        <v>42</v>
      </c>
      <c r="E2" s="57" t="s">
        <v>121</v>
      </c>
      <c r="F2" s="57" t="s">
        <v>122</v>
      </c>
      <c r="G2" s="57" t="s">
        <v>123</v>
      </c>
      <c r="H2" s="57" t="s">
        <v>124</v>
      </c>
      <c r="I2" s="57" t="s">
        <v>220</v>
      </c>
      <c r="J2" s="58" t="s">
        <v>125</v>
      </c>
      <c r="K2" s="58" t="s">
        <v>126</v>
      </c>
      <c r="L2" s="59" t="s">
        <v>127</v>
      </c>
      <c r="M2" s="60"/>
      <c r="N2" s="61" t="s">
        <v>128</v>
      </c>
      <c r="O2" s="62"/>
      <c r="P2" s="59" t="s">
        <v>129</v>
      </c>
      <c r="Q2" s="60"/>
      <c r="R2" s="61" t="s">
        <v>130</v>
      </c>
      <c r="S2" s="62"/>
      <c r="T2" s="61" t="s">
        <v>221</v>
      </c>
      <c r="U2" s="62"/>
      <c r="V2" s="63" t="s">
        <v>132</v>
      </c>
      <c r="W2" s="63"/>
      <c r="X2" s="64"/>
      <c r="Y2" s="36" t="s">
        <v>125</v>
      </c>
      <c r="Z2" s="36" t="s">
        <v>133</v>
      </c>
      <c r="AA2" s="36"/>
      <c r="AB2" s="36"/>
      <c r="AC2" s="36"/>
      <c r="AD2" s="36"/>
    </row>
    <row r="3" ht="19.5" customHeight="1" spans="1:30">
      <c r="A3" s="65"/>
      <c r="B3" s="65"/>
      <c r="C3" s="65"/>
      <c r="D3" s="65"/>
      <c r="E3" s="66"/>
      <c r="F3" s="66"/>
      <c r="G3" s="66"/>
      <c r="H3" s="66"/>
      <c r="I3" s="66"/>
      <c r="J3" s="67"/>
      <c r="K3" s="67"/>
      <c r="L3" s="68" t="s">
        <v>121</v>
      </c>
      <c r="M3" s="63" t="s">
        <v>126</v>
      </c>
      <c r="N3" s="68" t="s">
        <v>121</v>
      </c>
      <c r="O3" s="63" t="s">
        <v>126</v>
      </c>
      <c r="P3" s="68" t="s">
        <v>121</v>
      </c>
      <c r="Q3" s="63" t="s">
        <v>126</v>
      </c>
      <c r="R3" s="68" t="s">
        <v>121</v>
      </c>
      <c r="S3" s="63" t="s">
        <v>126</v>
      </c>
      <c r="T3" s="68" t="s">
        <v>121</v>
      </c>
      <c r="U3" s="63" t="s">
        <v>126</v>
      </c>
      <c r="V3" s="68" t="s">
        <v>121</v>
      </c>
      <c r="W3" s="69" t="s">
        <v>126</v>
      </c>
      <c r="X3" s="64"/>
      <c r="Y3" s="36"/>
      <c r="Z3" s="36"/>
      <c r="AA3" s="36"/>
      <c r="AB3" s="36"/>
      <c r="AC3" s="36"/>
      <c r="AD3" s="36"/>
    </row>
    <row r="4" ht="30" customHeight="1" spans="1:30">
      <c r="A4" s="21" t="s">
        <v>222</v>
      </c>
      <c r="B4" s="70" t="s">
        <v>223</v>
      </c>
      <c r="C4" s="21" t="s">
        <v>224</v>
      </c>
      <c r="D4" s="21" t="s">
        <v>225</v>
      </c>
      <c r="E4" s="71">
        <v>2840</v>
      </c>
      <c r="F4" s="71">
        <v>1000</v>
      </c>
      <c r="G4" s="71"/>
      <c r="H4" s="71">
        <v>1600</v>
      </c>
      <c r="I4" s="71">
        <v>240</v>
      </c>
      <c r="J4" s="48">
        <v>3.33507042253521</v>
      </c>
      <c r="K4" s="48">
        <f>J4*E4</f>
        <v>9471.6</v>
      </c>
      <c r="L4" s="71">
        <f>1341+767</f>
        <v>2108</v>
      </c>
      <c r="M4" s="72">
        <f t="shared" ref="M4:M26" si="0">L4*J4</f>
        <v>7030.32845070422</v>
      </c>
      <c r="N4" s="48">
        <v>22</v>
      </c>
      <c r="O4" s="48">
        <f t="shared" ref="O4:O26" si="1">N4*J4</f>
        <v>73.3715492957746</v>
      </c>
      <c r="P4" s="21">
        <f>100+6+240</f>
        <v>346</v>
      </c>
      <c r="Q4" s="72">
        <f t="shared" ref="Q4:Q26" si="2">P4*J4</f>
        <v>1153.93436619718</v>
      </c>
      <c r="R4" s="48">
        <f>28+32+2</f>
        <v>62</v>
      </c>
      <c r="S4" s="48">
        <f t="shared" ref="S4:S26" si="3">R4*J4</f>
        <v>206.774366197183</v>
      </c>
      <c r="T4" s="48">
        <f>63+231+8</f>
        <v>302</v>
      </c>
      <c r="U4" s="48">
        <f t="shared" ref="U4:U26" si="4">T4*J4</f>
        <v>1007.19126760563</v>
      </c>
      <c r="V4" s="48">
        <f>E4-L4-P4-N4-R4-T4</f>
        <v>0</v>
      </c>
      <c r="W4" s="73">
        <f t="shared" ref="W4:W26" si="5">K4-M4-Q4-O4-S4-U4</f>
        <v>0</v>
      </c>
      <c r="X4" s="74"/>
      <c r="Y4" s="75">
        <v>4.2</v>
      </c>
      <c r="Z4" s="76">
        <f>Y4*E4</f>
        <v>11928</v>
      </c>
      <c r="AA4" s="77"/>
      <c r="AB4" s="36"/>
      <c r="AC4" s="36"/>
      <c r="AD4" s="36"/>
    </row>
    <row r="5" ht="30" customHeight="1" spans="1:30">
      <c r="A5" s="21" t="s">
        <v>226</v>
      </c>
      <c r="B5" s="70" t="s">
        <v>227</v>
      </c>
      <c r="C5" s="21" t="s">
        <v>228</v>
      </c>
      <c r="D5" s="21" t="s">
        <v>225</v>
      </c>
      <c r="E5" s="71">
        <v>2840</v>
      </c>
      <c r="F5" s="71">
        <v>1000</v>
      </c>
      <c r="G5" s="71"/>
      <c r="H5" s="71">
        <v>1600</v>
      </c>
      <c r="I5" s="71">
        <v>240</v>
      </c>
      <c r="J5" s="48">
        <v>3.41929577464789</v>
      </c>
      <c r="K5" s="48">
        <f>J5*E5</f>
        <v>9710.80000000001</v>
      </c>
      <c r="L5" s="71">
        <f>1341+767</f>
        <v>2108</v>
      </c>
      <c r="M5" s="72">
        <f t="shared" si="0"/>
        <v>7207.87549295775</v>
      </c>
      <c r="N5" s="48">
        <v>22</v>
      </c>
      <c r="O5" s="48">
        <f t="shared" si="1"/>
        <v>75.2245070422536</v>
      </c>
      <c r="P5" s="21">
        <f>100+6+240</f>
        <v>346</v>
      </c>
      <c r="Q5" s="72">
        <f t="shared" si="2"/>
        <v>1183.07633802817</v>
      </c>
      <c r="R5" s="48">
        <f>28+32+2</f>
        <v>62</v>
      </c>
      <c r="S5" s="48">
        <f t="shared" si="3"/>
        <v>211.996338028169</v>
      </c>
      <c r="T5" s="48">
        <f>63+231+8</f>
        <v>302</v>
      </c>
      <c r="U5" s="48">
        <f t="shared" si="4"/>
        <v>1032.62732394366</v>
      </c>
      <c r="V5" s="48">
        <f t="shared" ref="V5:V26" si="6">E5-L5-P5-N5-R5-T5</f>
        <v>0</v>
      </c>
      <c r="W5" s="73">
        <f t="shared" si="5"/>
        <v>0</v>
      </c>
      <c r="X5" s="74"/>
      <c r="Y5" s="75">
        <v>4.8</v>
      </c>
      <c r="Z5" s="76">
        <f t="shared" ref="Z5:Z13" si="7">Y5*E5</f>
        <v>13632</v>
      </c>
      <c r="AA5" s="77"/>
      <c r="AB5" s="36"/>
      <c r="AC5" s="36"/>
      <c r="AD5" s="36"/>
    </row>
    <row r="6" ht="30" customHeight="1" spans="1:30">
      <c r="A6" s="21" t="s">
        <v>229</v>
      </c>
      <c r="B6" s="21" t="s">
        <v>230</v>
      </c>
      <c r="C6" s="21" t="s">
        <v>231</v>
      </c>
      <c r="D6" s="21" t="s">
        <v>225</v>
      </c>
      <c r="E6" s="71">
        <v>1000</v>
      </c>
      <c r="F6" s="71">
        <v>1000</v>
      </c>
      <c r="G6" s="71"/>
      <c r="H6" s="71"/>
      <c r="I6" s="71"/>
      <c r="J6" s="48">
        <v>3.248</v>
      </c>
      <c r="K6" s="48">
        <f>J6*E6</f>
        <v>3248</v>
      </c>
      <c r="L6" s="71">
        <f>VLOOKUP(A6,'[1]ACTUAL VS FORECAST'!$B$2:$P$34,15,0)</f>
        <v>767</v>
      </c>
      <c r="M6" s="72">
        <f t="shared" si="0"/>
        <v>2491.216</v>
      </c>
      <c r="N6" s="48">
        <v>22</v>
      </c>
      <c r="O6" s="48">
        <f t="shared" si="1"/>
        <v>71.456</v>
      </c>
      <c r="P6" s="21">
        <v>100</v>
      </c>
      <c r="Q6" s="72">
        <f t="shared" si="2"/>
        <v>324.8</v>
      </c>
      <c r="R6" s="48"/>
      <c r="S6" s="48">
        <f t="shared" si="3"/>
        <v>0</v>
      </c>
      <c r="T6" s="48">
        <f>63+48</f>
        <v>111</v>
      </c>
      <c r="U6" s="48">
        <f t="shared" si="4"/>
        <v>360.528</v>
      </c>
      <c r="V6" s="48">
        <f t="shared" si="6"/>
        <v>0</v>
      </c>
      <c r="W6" s="73">
        <f t="shared" si="5"/>
        <v>0</v>
      </c>
      <c r="X6" s="74"/>
      <c r="Y6" s="36">
        <v>4.6</v>
      </c>
      <c r="Z6" s="76">
        <f t="shared" si="7"/>
        <v>4600</v>
      </c>
      <c r="AA6" s="77"/>
      <c r="AB6" s="36"/>
      <c r="AC6" s="36"/>
      <c r="AD6" s="36"/>
    </row>
    <row r="7" ht="30" customHeight="1" spans="1:30">
      <c r="A7" s="21" t="s">
        <v>232</v>
      </c>
      <c r="B7" s="70" t="s">
        <v>233</v>
      </c>
      <c r="C7" s="21" t="s">
        <v>234</v>
      </c>
      <c r="D7" s="21" t="s">
        <v>225</v>
      </c>
      <c r="E7" s="71">
        <v>2840</v>
      </c>
      <c r="F7" s="71">
        <v>1000</v>
      </c>
      <c r="G7" s="71"/>
      <c r="H7" s="71">
        <v>1600</v>
      </c>
      <c r="I7" s="71">
        <v>240</v>
      </c>
      <c r="J7" s="48">
        <v>3.24859154929577</v>
      </c>
      <c r="K7" s="48">
        <f t="shared" ref="K7:K26" si="8">J7*E7</f>
        <v>9225.99999999999</v>
      </c>
      <c r="L7" s="71">
        <f>1341+767</f>
        <v>2108</v>
      </c>
      <c r="M7" s="72">
        <f t="shared" si="0"/>
        <v>6848.03098591548</v>
      </c>
      <c r="N7" s="48">
        <v>22</v>
      </c>
      <c r="O7" s="48">
        <f t="shared" si="1"/>
        <v>71.4690140845069</v>
      </c>
      <c r="P7" s="21">
        <f>100+6+240</f>
        <v>346</v>
      </c>
      <c r="Q7" s="72">
        <f t="shared" si="2"/>
        <v>1124.01267605634</v>
      </c>
      <c r="R7" s="48">
        <f>28+32+2</f>
        <v>62</v>
      </c>
      <c r="S7" s="48">
        <f t="shared" si="3"/>
        <v>201.412676056338</v>
      </c>
      <c r="T7" s="48">
        <f>63+231+8</f>
        <v>302</v>
      </c>
      <c r="U7" s="48">
        <f t="shared" si="4"/>
        <v>981.074647887323</v>
      </c>
      <c r="V7" s="48">
        <f t="shared" si="6"/>
        <v>0</v>
      </c>
      <c r="W7" s="73">
        <f t="shared" si="5"/>
        <v>0</v>
      </c>
      <c r="X7" s="74"/>
      <c r="Y7" s="75">
        <v>4.9</v>
      </c>
      <c r="Z7" s="76">
        <f t="shared" si="7"/>
        <v>13916</v>
      </c>
      <c r="AA7" s="77"/>
      <c r="AB7" s="36"/>
      <c r="AC7" s="36"/>
      <c r="AD7" s="36"/>
    </row>
    <row r="8" ht="30" customHeight="1" spans="1:30">
      <c r="A8" s="21" t="s">
        <v>235</v>
      </c>
      <c r="B8" s="21" t="s">
        <v>236</v>
      </c>
      <c r="C8" s="21" t="s">
        <v>237</v>
      </c>
      <c r="D8" s="21" t="s">
        <v>225</v>
      </c>
      <c r="E8" s="71">
        <v>1000</v>
      </c>
      <c r="F8" s="71">
        <v>1000</v>
      </c>
      <c r="G8" s="71"/>
      <c r="H8" s="71"/>
      <c r="I8" s="71"/>
      <c r="J8" s="48">
        <v>3.761</v>
      </c>
      <c r="K8" s="48">
        <f t="shared" si="8"/>
        <v>3761</v>
      </c>
      <c r="L8" s="71">
        <f>VLOOKUP(A8,'[1]ACTUAL VS FORECAST'!$B$2:$P$34,15,0)</f>
        <v>767</v>
      </c>
      <c r="M8" s="72">
        <f t="shared" si="0"/>
        <v>2884.687</v>
      </c>
      <c r="N8" s="48">
        <v>22</v>
      </c>
      <c r="O8" s="48">
        <f t="shared" si="1"/>
        <v>82.742</v>
      </c>
      <c r="P8" s="21">
        <v>100</v>
      </c>
      <c r="Q8" s="72">
        <f t="shared" si="2"/>
        <v>376.1</v>
      </c>
      <c r="R8" s="48"/>
      <c r="S8" s="48">
        <f t="shared" si="3"/>
        <v>0</v>
      </c>
      <c r="T8" s="48">
        <f>63+48</f>
        <v>111</v>
      </c>
      <c r="U8" s="48">
        <f t="shared" si="4"/>
        <v>417.471</v>
      </c>
      <c r="V8" s="48">
        <f t="shared" si="6"/>
        <v>0</v>
      </c>
      <c r="W8" s="73">
        <f t="shared" si="5"/>
        <v>0</v>
      </c>
      <c r="X8" s="74"/>
      <c r="Y8" s="75">
        <v>3.5</v>
      </c>
      <c r="Z8" s="76">
        <f t="shared" si="7"/>
        <v>3500</v>
      </c>
      <c r="AA8" s="77"/>
      <c r="AB8" s="36"/>
      <c r="AC8" s="36"/>
      <c r="AD8" s="36"/>
    </row>
    <row r="9" ht="30" customHeight="1" spans="1:30">
      <c r="A9" s="21" t="s">
        <v>238</v>
      </c>
      <c r="B9" s="70" t="s">
        <v>239</v>
      </c>
      <c r="C9" s="21" t="s">
        <v>240</v>
      </c>
      <c r="D9" s="21" t="s">
        <v>225</v>
      </c>
      <c r="E9" s="71">
        <v>2840</v>
      </c>
      <c r="F9" s="71">
        <v>1000</v>
      </c>
      <c r="G9" s="71"/>
      <c r="H9" s="71">
        <v>1600</v>
      </c>
      <c r="I9" s="71">
        <v>240</v>
      </c>
      <c r="J9" s="48">
        <v>3.07788732394366</v>
      </c>
      <c r="K9" s="48">
        <f t="shared" si="8"/>
        <v>8741.19999999999</v>
      </c>
      <c r="L9" s="71">
        <f>1341+767</f>
        <v>2108</v>
      </c>
      <c r="M9" s="72">
        <f t="shared" si="0"/>
        <v>6488.18647887324</v>
      </c>
      <c r="N9" s="48">
        <v>22</v>
      </c>
      <c r="O9" s="48">
        <f t="shared" si="1"/>
        <v>67.7135211267605</v>
      </c>
      <c r="P9" s="21">
        <f>100+6+240</f>
        <v>346</v>
      </c>
      <c r="Q9" s="72">
        <f t="shared" si="2"/>
        <v>1064.94901408451</v>
      </c>
      <c r="R9" s="48">
        <f>28+32+2</f>
        <v>62</v>
      </c>
      <c r="S9" s="48">
        <f t="shared" si="3"/>
        <v>190.829014084507</v>
      </c>
      <c r="T9" s="48">
        <f>63+231+8</f>
        <v>302</v>
      </c>
      <c r="U9" s="48">
        <f t="shared" si="4"/>
        <v>929.521971830985</v>
      </c>
      <c r="V9" s="48">
        <f t="shared" si="6"/>
        <v>0</v>
      </c>
      <c r="W9" s="73">
        <f t="shared" si="5"/>
        <v>-1.25055521493778e-12</v>
      </c>
      <c r="X9" s="74"/>
      <c r="Y9" s="75">
        <v>4.6</v>
      </c>
      <c r="Z9" s="76">
        <f t="shared" si="7"/>
        <v>13064</v>
      </c>
      <c r="AA9" s="77"/>
      <c r="AB9" s="36"/>
      <c r="AC9" s="36"/>
      <c r="AD9" s="36"/>
    </row>
    <row r="10" ht="30" customHeight="1" spans="1:30">
      <c r="A10" s="21" t="s">
        <v>241</v>
      </c>
      <c r="B10" s="70" t="s">
        <v>154</v>
      </c>
      <c r="C10" s="21" t="s">
        <v>242</v>
      </c>
      <c r="D10" s="21" t="s">
        <v>225</v>
      </c>
      <c r="E10" s="71">
        <v>2840</v>
      </c>
      <c r="F10" s="71">
        <v>1000</v>
      </c>
      <c r="G10" s="71"/>
      <c r="H10" s="71">
        <v>1600</v>
      </c>
      <c r="I10" s="71">
        <v>240</v>
      </c>
      <c r="J10" s="48">
        <v>3.24859154929577</v>
      </c>
      <c r="K10" s="48">
        <f t="shared" si="8"/>
        <v>9225.99999999999</v>
      </c>
      <c r="L10" s="71">
        <f>1341+767</f>
        <v>2108</v>
      </c>
      <c r="M10" s="72">
        <f t="shared" si="0"/>
        <v>6848.03098591548</v>
      </c>
      <c r="N10" s="48">
        <v>22</v>
      </c>
      <c r="O10" s="48">
        <f t="shared" si="1"/>
        <v>71.4690140845069</v>
      </c>
      <c r="P10" s="21">
        <f>100+6+240</f>
        <v>346</v>
      </c>
      <c r="Q10" s="72">
        <f t="shared" si="2"/>
        <v>1124.01267605634</v>
      </c>
      <c r="R10" s="48">
        <f>28+32+2</f>
        <v>62</v>
      </c>
      <c r="S10" s="48">
        <f t="shared" si="3"/>
        <v>201.412676056338</v>
      </c>
      <c r="T10" s="48">
        <f>63+231+8</f>
        <v>302</v>
      </c>
      <c r="U10" s="48">
        <f t="shared" si="4"/>
        <v>981.074647887323</v>
      </c>
      <c r="V10" s="48">
        <f t="shared" si="6"/>
        <v>0</v>
      </c>
      <c r="W10" s="73">
        <f t="shared" si="5"/>
        <v>0</v>
      </c>
      <c r="X10" s="74"/>
      <c r="Y10" s="75">
        <v>4.1</v>
      </c>
      <c r="Z10" s="76">
        <f t="shared" si="7"/>
        <v>11644</v>
      </c>
      <c r="AA10" s="77"/>
      <c r="AB10" s="36"/>
      <c r="AC10" s="36"/>
      <c r="AD10" s="36"/>
    </row>
    <row r="11" ht="30" customHeight="1" spans="1:30">
      <c r="A11" s="21" t="s">
        <v>243</v>
      </c>
      <c r="B11" s="70" t="s">
        <v>244</v>
      </c>
      <c r="C11" s="21" t="s">
        <v>245</v>
      </c>
      <c r="D11" s="21" t="s">
        <v>225</v>
      </c>
      <c r="E11" s="71">
        <v>2840</v>
      </c>
      <c r="F11" s="71">
        <v>1000</v>
      </c>
      <c r="G11" s="71"/>
      <c r="H11" s="71">
        <v>1600</v>
      </c>
      <c r="I11" s="71">
        <v>240</v>
      </c>
      <c r="J11" s="48">
        <v>4.01788732394366</v>
      </c>
      <c r="K11" s="48">
        <f t="shared" si="8"/>
        <v>11410.8</v>
      </c>
      <c r="L11" s="71">
        <f>1341+767</f>
        <v>2108</v>
      </c>
      <c r="M11" s="72">
        <f t="shared" si="0"/>
        <v>8469.70647887324</v>
      </c>
      <c r="N11" s="48">
        <v>22</v>
      </c>
      <c r="O11" s="48">
        <f t="shared" si="1"/>
        <v>88.3935211267605</v>
      </c>
      <c r="P11" s="21">
        <f>100+6+240</f>
        <v>346</v>
      </c>
      <c r="Q11" s="72">
        <f t="shared" si="2"/>
        <v>1390.18901408451</v>
      </c>
      <c r="R11" s="48">
        <f>28+32+2</f>
        <v>62</v>
      </c>
      <c r="S11" s="48">
        <f t="shared" si="3"/>
        <v>249.109014084507</v>
      </c>
      <c r="T11" s="48">
        <f>63+231+8</f>
        <v>302</v>
      </c>
      <c r="U11" s="48">
        <f t="shared" si="4"/>
        <v>1213.40197183099</v>
      </c>
      <c r="V11" s="48">
        <f t="shared" si="6"/>
        <v>0</v>
      </c>
      <c r="W11" s="73">
        <f t="shared" si="5"/>
        <v>0</v>
      </c>
      <c r="X11" s="74"/>
      <c r="Y11" s="36">
        <v>23</v>
      </c>
      <c r="Z11" s="76">
        <f t="shared" si="7"/>
        <v>65320</v>
      </c>
      <c r="AA11" s="77"/>
      <c r="AB11" s="36"/>
      <c r="AC11" s="36"/>
      <c r="AD11" s="36"/>
    </row>
    <row r="12" ht="30" customHeight="1" spans="1:30">
      <c r="A12" s="21" t="s">
        <v>246</v>
      </c>
      <c r="B12" s="21" t="s">
        <v>247</v>
      </c>
      <c r="C12" s="21" t="s">
        <v>248</v>
      </c>
      <c r="D12" s="21" t="s">
        <v>225</v>
      </c>
      <c r="E12" s="71">
        <v>1000</v>
      </c>
      <c r="F12" s="71">
        <v>1000</v>
      </c>
      <c r="G12" s="71"/>
      <c r="H12" s="71"/>
      <c r="I12" s="71"/>
      <c r="J12" s="48">
        <v>3.846</v>
      </c>
      <c r="K12" s="48">
        <f t="shared" si="8"/>
        <v>3846</v>
      </c>
      <c r="L12" s="71">
        <f>VLOOKUP(A12,'[1]ACTUAL VS FORECAST'!$B$2:$P$34,15,0)</f>
        <v>767</v>
      </c>
      <c r="M12" s="72">
        <f t="shared" si="0"/>
        <v>2949.882</v>
      </c>
      <c r="N12" s="48">
        <v>22</v>
      </c>
      <c r="O12" s="48">
        <f t="shared" si="1"/>
        <v>84.612</v>
      </c>
      <c r="P12" s="21">
        <v>100</v>
      </c>
      <c r="Q12" s="72">
        <f t="shared" si="2"/>
        <v>384.6</v>
      </c>
      <c r="R12" s="48"/>
      <c r="S12" s="48">
        <f t="shared" si="3"/>
        <v>0</v>
      </c>
      <c r="T12" s="48">
        <f>63+48</f>
        <v>111</v>
      </c>
      <c r="U12" s="48">
        <f t="shared" si="4"/>
        <v>426.906</v>
      </c>
      <c r="V12" s="48">
        <f t="shared" si="6"/>
        <v>0</v>
      </c>
      <c r="W12" s="73">
        <f t="shared" si="5"/>
        <v>0</v>
      </c>
      <c r="X12" s="74"/>
      <c r="Y12" s="75">
        <v>33</v>
      </c>
      <c r="Z12" s="76">
        <f t="shared" si="7"/>
        <v>33000</v>
      </c>
      <c r="AA12" s="77"/>
      <c r="AB12" s="36"/>
      <c r="AC12" s="36"/>
      <c r="AD12" s="36"/>
    </row>
    <row r="13" ht="30" customHeight="1" spans="1:30">
      <c r="A13" s="21" t="s">
        <v>249</v>
      </c>
      <c r="B13" s="21" t="s">
        <v>223</v>
      </c>
      <c r="C13" s="21" t="s">
        <v>224</v>
      </c>
      <c r="D13" s="21" t="s">
        <v>250</v>
      </c>
      <c r="E13" s="71">
        <v>1200</v>
      </c>
      <c r="F13" s="71"/>
      <c r="G13" s="71">
        <v>1200</v>
      </c>
      <c r="H13" s="71"/>
      <c r="I13" s="71"/>
      <c r="J13" s="48">
        <v>4.017</v>
      </c>
      <c r="K13" s="48">
        <f t="shared" si="8"/>
        <v>4820.4</v>
      </c>
      <c r="L13" s="71">
        <f>1114-8</f>
        <v>1106</v>
      </c>
      <c r="M13" s="72">
        <f t="shared" si="0"/>
        <v>4442.802</v>
      </c>
      <c r="N13" s="48"/>
      <c r="O13" s="48">
        <f t="shared" si="1"/>
        <v>0</v>
      </c>
      <c r="P13" s="21">
        <v>94</v>
      </c>
      <c r="Q13" s="72">
        <f t="shared" si="2"/>
        <v>377.598</v>
      </c>
      <c r="R13" s="48"/>
      <c r="S13" s="48">
        <f t="shared" si="3"/>
        <v>0</v>
      </c>
      <c r="T13" s="48"/>
      <c r="U13" s="48">
        <f t="shared" si="4"/>
        <v>0</v>
      </c>
      <c r="V13" s="48">
        <f t="shared" si="6"/>
        <v>0</v>
      </c>
      <c r="W13" s="73">
        <f t="shared" si="5"/>
        <v>0</v>
      </c>
      <c r="X13" s="74"/>
      <c r="Y13" s="36">
        <v>28</v>
      </c>
      <c r="Z13" s="76">
        <f t="shared" si="7"/>
        <v>33600</v>
      </c>
      <c r="AA13" s="77"/>
      <c r="AB13" s="36"/>
      <c r="AC13" s="36"/>
      <c r="AD13" s="36"/>
    </row>
    <row r="14" ht="30" customHeight="1" spans="1:30">
      <c r="A14" s="21" t="s">
        <v>251</v>
      </c>
      <c r="B14" s="21" t="s">
        <v>227</v>
      </c>
      <c r="C14" s="21" t="s">
        <v>228</v>
      </c>
      <c r="D14" s="21" t="s">
        <v>250</v>
      </c>
      <c r="E14" s="71">
        <v>1200</v>
      </c>
      <c r="F14" s="71"/>
      <c r="G14" s="71">
        <v>1200</v>
      </c>
      <c r="H14" s="71"/>
      <c r="I14" s="71"/>
      <c r="J14" s="48">
        <v>3.846</v>
      </c>
      <c r="K14" s="48">
        <f t="shared" si="8"/>
        <v>4615.2</v>
      </c>
      <c r="L14" s="71">
        <f t="shared" ref="L14:L20" si="9">1114-8</f>
        <v>1106</v>
      </c>
      <c r="M14" s="72">
        <f t="shared" si="0"/>
        <v>4253.676</v>
      </c>
      <c r="N14" s="48"/>
      <c r="O14" s="48">
        <f t="shared" si="1"/>
        <v>0</v>
      </c>
      <c r="P14" s="21">
        <v>94</v>
      </c>
      <c r="Q14" s="72">
        <f t="shared" si="2"/>
        <v>361.524</v>
      </c>
      <c r="R14" s="48"/>
      <c r="S14" s="48">
        <f t="shared" si="3"/>
        <v>0</v>
      </c>
      <c r="T14" s="48"/>
      <c r="U14" s="48">
        <f t="shared" si="4"/>
        <v>0</v>
      </c>
      <c r="V14" s="48">
        <f t="shared" si="6"/>
        <v>0</v>
      </c>
      <c r="W14" s="73">
        <f t="shared" si="5"/>
        <v>-5.6843418860808e-13</v>
      </c>
      <c r="X14" s="74"/>
      <c r="Y14" s="36"/>
      <c r="Z14" s="76"/>
      <c r="AA14" s="77"/>
      <c r="AB14" s="36"/>
      <c r="AC14" s="36"/>
      <c r="AD14" s="36"/>
    </row>
    <row r="15" ht="30" customHeight="1" spans="1:30">
      <c r="A15" s="21" t="s">
        <v>252</v>
      </c>
      <c r="B15" s="21" t="s">
        <v>233</v>
      </c>
      <c r="C15" s="21" t="s">
        <v>234</v>
      </c>
      <c r="D15" s="21" t="s">
        <v>250</v>
      </c>
      <c r="E15" s="71">
        <v>1200</v>
      </c>
      <c r="F15" s="71"/>
      <c r="G15" s="71">
        <v>1200</v>
      </c>
      <c r="H15" s="71"/>
      <c r="I15" s="71"/>
      <c r="J15" s="48">
        <v>3.846</v>
      </c>
      <c r="K15" s="48">
        <f t="shared" si="8"/>
        <v>4615.2</v>
      </c>
      <c r="L15" s="71">
        <f t="shared" si="9"/>
        <v>1106</v>
      </c>
      <c r="M15" s="72">
        <f t="shared" si="0"/>
        <v>4253.676</v>
      </c>
      <c r="N15" s="48"/>
      <c r="O15" s="48">
        <f t="shared" si="1"/>
        <v>0</v>
      </c>
      <c r="P15" s="21">
        <v>94</v>
      </c>
      <c r="Q15" s="72">
        <f t="shared" si="2"/>
        <v>361.524</v>
      </c>
      <c r="R15" s="48"/>
      <c r="S15" s="48">
        <f t="shared" si="3"/>
        <v>0</v>
      </c>
      <c r="T15" s="48"/>
      <c r="U15" s="48">
        <f t="shared" si="4"/>
        <v>0</v>
      </c>
      <c r="V15" s="48">
        <f t="shared" si="6"/>
        <v>0</v>
      </c>
      <c r="W15" s="73">
        <f t="shared" si="5"/>
        <v>-5.6843418860808e-13</v>
      </c>
      <c r="X15" s="74"/>
      <c r="Y15" s="36"/>
      <c r="Z15" s="76"/>
      <c r="AA15" s="77"/>
      <c r="AB15" s="36"/>
      <c r="AC15" s="36"/>
      <c r="AD15" s="36"/>
    </row>
    <row r="16" ht="30" customHeight="1" spans="1:30">
      <c r="A16" s="21" t="s">
        <v>253</v>
      </c>
      <c r="B16" s="21" t="s">
        <v>236</v>
      </c>
      <c r="C16" s="21" t="s">
        <v>237</v>
      </c>
      <c r="D16" s="21" t="s">
        <v>250</v>
      </c>
      <c r="E16" s="71">
        <v>1200</v>
      </c>
      <c r="F16" s="71"/>
      <c r="G16" s="71">
        <v>1200</v>
      </c>
      <c r="H16" s="71"/>
      <c r="I16" s="71"/>
      <c r="J16" s="48">
        <v>4.53</v>
      </c>
      <c r="K16" s="48">
        <f t="shared" si="8"/>
        <v>5436</v>
      </c>
      <c r="L16" s="71">
        <f t="shared" si="9"/>
        <v>1106</v>
      </c>
      <c r="M16" s="72">
        <f t="shared" si="0"/>
        <v>5010.18</v>
      </c>
      <c r="N16" s="48"/>
      <c r="O16" s="48">
        <f t="shared" si="1"/>
        <v>0</v>
      </c>
      <c r="P16" s="21">
        <v>94</v>
      </c>
      <c r="Q16" s="72">
        <f t="shared" si="2"/>
        <v>425.82</v>
      </c>
      <c r="R16" s="48"/>
      <c r="S16" s="48">
        <f t="shared" si="3"/>
        <v>0</v>
      </c>
      <c r="T16" s="48"/>
      <c r="U16" s="48">
        <f t="shared" si="4"/>
        <v>0</v>
      </c>
      <c r="V16" s="48">
        <f t="shared" si="6"/>
        <v>0</v>
      </c>
      <c r="W16" s="73">
        <f t="shared" si="5"/>
        <v>-3.41060513164848e-13</v>
      </c>
      <c r="X16" s="74"/>
      <c r="Y16" s="36"/>
      <c r="Z16" s="76"/>
      <c r="AA16" s="77"/>
      <c r="AB16" s="36"/>
      <c r="AC16" s="36"/>
      <c r="AD16" s="36"/>
    </row>
    <row r="17" ht="30" customHeight="1" spans="1:32">
      <c r="A17" s="21" t="s">
        <v>254</v>
      </c>
      <c r="B17" s="21" t="s">
        <v>244</v>
      </c>
      <c r="C17" s="21" t="s">
        <v>245</v>
      </c>
      <c r="D17" s="21" t="s">
        <v>250</v>
      </c>
      <c r="E17" s="71">
        <v>1200</v>
      </c>
      <c r="F17" s="71"/>
      <c r="G17" s="71">
        <v>1200</v>
      </c>
      <c r="H17" s="71"/>
      <c r="I17" s="71"/>
      <c r="J17" s="48">
        <v>4.615</v>
      </c>
      <c r="K17" s="48">
        <f t="shared" si="8"/>
        <v>5538</v>
      </c>
      <c r="L17" s="71">
        <f t="shared" si="9"/>
        <v>1106</v>
      </c>
      <c r="M17" s="72">
        <f t="shared" si="0"/>
        <v>5104.19</v>
      </c>
      <c r="N17" s="48"/>
      <c r="O17" s="48">
        <f t="shared" si="1"/>
        <v>0</v>
      </c>
      <c r="P17" s="21">
        <v>94</v>
      </c>
      <c r="Q17" s="72">
        <f t="shared" si="2"/>
        <v>433.81</v>
      </c>
      <c r="R17" s="48"/>
      <c r="S17" s="48">
        <f t="shared" si="3"/>
        <v>0</v>
      </c>
      <c r="T17" s="48"/>
      <c r="U17" s="48">
        <f t="shared" si="4"/>
        <v>0</v>
      </c>
      <c r="V17" s="48">
        <f t="shared" si="6"/>
        <v>0</v>
      </c>
      <c r="W17" s="73">
        <f t="shared" si="5"/>
        <v>-5.11590769747272e-13</v>
      </c>
      <c r="X17" s="74"/>
      <c r="Y17" s="36"/>
      <c r="Z17" s="76"/>
      <c r="AA17" s="77"/>
      <c r="AB17" s="36"/>
      <c r="AC17" s="36"/>
      <c r="AD17" s="36"/>
    </row>
    <row r="18" ht="30" customHeight="1" spans="1:32">
      <c r="A18" s="21" t="s">
        <v>255</v>
      </c>
      <c r="B18" s="21" t="s">
        <v>247</v>
      </c>
      <c r="C18" s="21" t="s">
        <v>248</v>
      </c>
      <c r="D18" s="21" t="s">
        <v>250</v>
      </c>
      <c r="E18" s="71">
        <v>1200</v>
      </c>
      <c r="F18" s="71"/>
      <c r="G18" s="71">
        <v>1200</v>
      </c>
      <c r="H18" s="71"/>
      <c r="I18" s="71"/>
      <c r="J18" s="48">
        <v>4.615</v>
      </c>
      <c r="K18" s="48">
        <f t="shared" si="8"/>
        <v>5538</v>
      </c>
      <c r="L18" s="71">
        <f t="shared" si="9"/>
        <v>1106</v>
      </c>
      <c r="M18" s="72">
        <f t="shared" si="0"/>
        <v>5104.19</v>
      </c>
      <c r="N18" s="48"/>
      <c r="O18" s="48">
        <f t="shared" si="1"/>
        <v>0</v>
      </c>
      <c r="P18" s="21">
        <v>94</v>
      </c>
      <c r="Q18" s="72">
        <f t="shared" si="2"/>
        <v>433.81</v>
      </c>
      <c r="R18" s="48"/>
      <c r="S18" s="48">
        <f t="shared" si="3"/>
        <v>0</v>
      </c>
      <c r="T18" s="48"/>
      <c r="U18" s="48">
        <f t="shared" si="4"/>
        <v>0</v>
      </c>
      <c r="V18" s="48">
        <f t="shared" si="6"/>
        <v>0</v>
      </c>
      <c r="W18" s="73">
        <f t="shared" si="5"/>
        <v>-5.11590769747272e-13</v>
      </c>
      <c r="X18" s="74"/>
      <c r="Y18" s="36"/>
      <c r="Z18" s="76"/>
      <c r="AA18" s="77"/>
      <c r="AB18" s="36"/>
      <c r="AC18" s="36"/>
      <c r="AD18" s="36"/>
    </row>
    <row r="19" ht="30" customHeight="1" spans="1:32">
      <c r="A19" s="21" t="s">
        <v>256</v>
      </c>
      <c r="B19" s="21" t="s">
        <v>257</v>
      </c>
      <c r="C19" s="21" t="s">
        <v>258</v>
      </c>
      <c r="D19" s="21"/>
      <c r="E19" s="71">
        <v>1000</v>
      </c>
      <c r="F19" s="71">
        <v>1000</v>
      </c>
      <c r="G19" s="71"/>
      <c r="H19" s="71"/>
      <c r="I19" s="71"/>
      <c r="J19" s="48">
        <v>20.51</v>
      </c>
      <c r="K19" s="48">
        <f t="shared" si="8"/>
        <v>20510</v>
      </c>
      <c r="L19" s="71">
        <f>VLOOKUP(A19,'[1]ACTUAL VS FORECAST'!$B$2:$P$34,15,0)</f>
        <v>767</v>
      </c>
      <c r="M19" s="72">
        <f t="shared" si="0"/>
        <v>15731.17</v>
      </c>
      <c r="N19" s="48">
        <v>22</v>
      </c>
      <c r="O19" s="48">
        <f t="shared" si="1"/>
        <v>451.22</v>
      </c>
      <c r="P19" s="21">
        <v>100</v>
      </c>
      <c r="Q19" s="72">
        <f t="shared" si="2"/>
        <v>2051</v>
      </c>
      <c r="R19" s="48">
        <v>32</v>
      </c>
      <c r="S19" s="48">
        <f t="shared" si="3"/>
        <v>656.32</v>
      </c>
      <c r="T19" s="48">
        <f>63+16</f>
        <v>79</v>
      </c>
      <c r="U19" s="48">
        <f t="shared" si="4"/>
        <v>1620.29</v>
      </c>
      <c r="V19" s="48">
        <f t="shared" si="6"/>
        <v>0</v>
      </c>
      <c r="W19" s="73">
        <f t="shared" si="5"/>
        <v>-2.50111042987555e-12</v>
      </c>
      <c r="X19" s="74"/>
      <c r="Y19" s="36"/>
      <c r="Z19" s="76"/>
      <c r="AA19" s="77"/>
      <c r="AB19" s="36"/>
      <c r="AC19" s="36"/>
      <c r="AD19" s="36"/>
    </row>
    <row r="20" ht="30" customHeight="1" spans="1:32">
      <c r="A20" s="21" t="s">
        <v>259</v>
      </c>
      <c r="B20" s="21" t="s">
        <v>260</v>
      </c>
      <c r="C20" s="21" t="s">
        <v>258</v>
      </c>
      <c r="D20" s="21"/>
      <c r="E20" s="71">
        <v>1200</v>
      </c>
      <c r="F20" s="71"/>
      <c r="G20" s="71">
        <v>1200</v>
      </c>
      <c r="H20" s="71"/>
      <c r="I20" s="71"/>
      <c r="J20" s="48">
        <v>17.09</v>
      </c>
      <c r="K20" s="48">
        <f t="shared" si="8"/>
        <v>20508</v>
      </c>
      <c r="L20" s="71">
        <f t="shared" si="9"/>
        <v>1106</v>
      </c>
      <c r="M20" s="72">
        <f t="shared" si="0"/>
        <v>18901.54</v>
      </c>
      <c r="N20" s="48"/>
      <c r="O20" s="48">
        <f t="shared" si="1"/>
        <v>0</v>
      </c>
      <c r="P20" s="21">
        <v>94</v>
      </c>
      <c r="Q20" s="72">
        <f t="shared" si="2"/>
        <v>1606.46</v>
      </c>
      <c r="R20" s="48"/>
      <c r="S20" s="48">
        <f t="shared" si="3"/>
        <v>0</v>
      </c>
      <c r="T20" s="48"/>
      <c r="U20" s="48">
        <f t="shared" si="4"/>
        <v>0</v>
      </c>
      <c r="V20" s="48">
        <f t="shared" si="6"/>
        <v>0</v>
      </c>
      <c r="W20" s="73">
        <f t="shared" si="5"/>
        <v>0</v>
      </c>
      <c r="X20" s="74"/>
      <c r="Y20" s="36"/>
      <c r="Z20" s="76"/>
      <c r="AA20" s="77"/>
      <c r="AB20" s="36"/>
      <c r="AC20" s="36"/>
      <c r="AD20" s="36"/>
    </row>
    <row r="21" ht="30" customHeight="1" spans="1:32">
      <c r="A21" s="21" t="s">
        <v>261</v>
      </c>
      <c r="B21" s="21" t="s">
        <v>262</v>
      </c>
      <c r="C21" s="21" t="s">
        <v>258</v>
      </c>
      <c r="D21" s="21"/>
      <c r="E21" s="71">
        <f>1000+600</f>
        <v>1600</v>
      </c>
      <c r="F21" s="71"/>
      <c r="G21" s="71"/>
      <c r="H21" s="71">
        <v>1600</v>
      </c>
      <c r="I21" s="71"/>
      <c r="J21" s="48">
        <v>20.51</v>
      </c>
      <c r="K21" s="48">
        <f t="shared" si="8"/>
        <v>32816</v>
      </c>
      <c r="L21" s="71">
        <f>1341</f>
        <v>1341</v>
      </c>
      <c r="M21" s="72">
        <f t="shared" si="0"/>
        <v>27503.91</v>
      </c>
      <c r="N21" s="48"/>
      <c r="O21" s="48">
        <f t="shared" si="1"/>
        <v>0</v>
      </c>
      <c r="P21" s="21">
        <v>6</v>
      </c>
      <c r="Q21" s="72">
        <f t="shared" si="2"/>
        <v>123.06</v>
      </c>
      <c r="R21" s="48">
        <f>28-14</f>
        <v>14</v>
      </c>
      <c r="S21" s="48">
        <f t="shared" si="3"/>
        <v>287.14</v>
      </c>
      <c r="T21" s="48">
        <f>231+8</f>
        <v>239</v>
      </c>
      <c r="U21" s="48">
        <f t="shared" si="4"/>
        <v>4901.89</v>
      </c>
      <c r="V21" s="48">
        <f t="shared" si="6"/>
        <v>0</v>
      </c>
      <c r="W21" s="73">
        <f t="shared" si="5"/>
        <v>0</v>
      </c>
      <c r="X21" s="74"/>
      <c r="Y21" s="36"/>
      <c r="Z21" s="76"/>
      <c r="AA21" s="77"/>
      <c r="AB21" s="36"/>
      <c r="AC21" s="36"/>
      <c r="AD21" s="36"/>
    </row>
    <row r="22" ht="30" customHeight="1" spans="1:32">
      <c r="A22" s="21" t="s">
        <v>263</v>
      </c>
      <c r="B22" s="21" t="s">
        <v>264</v>
      </c>
      <c r="C22" s="21" t="s">
        <v>265</v>
      </c>
      <c r="D22" s="21"/>
      <c r="E22" s="71">
        <v>1000</v>
      </c>
      <c r="F22" s="71"/>
      <c r="G22" s="71"/>
      <c r="H22" s="71"/>
      <c r="I22" s="71"/>
      <c r="J22" s="48">
        <v>2.56</v>
      </c>
      <c r="K22" s="78">
        <f t="shared" si="8"/>
        <v>2560</v>
      </c>
      <c r="L22" s="71">
        <f>VLOOKUP(A22,'[1]ACTUAL VS FORECAST'!$B$2:$P$34,15,0)</f>
        <v>767</v>
      </c>
      <c r="M22" s="72">
        <f t="shared" si="0"/>
        <v>1963.52</v>
      </c>
      <c r="N22" s="48">
        <v>22</v>
      </c>
      <c r="O22" s="48">
        <f t="shared" si="1"/>
        <v>56.32</v>
      </c>
      <c r="P22" s="21">
        <v>100</v>
      </c>
      <c r="Q22" s="72">
        <f t="shared" si="2"/>
        <v>256</v>
      </c>
      <c r="R22" s="48">
        <v>32</v>
      </c>
      <c r="S22" s="48">
        <f t="shared" si="3"/>
        <v>81.92</v>
      </c>
      <c r="T22" s="48">
        <f>63+16</f>
        <v>79</v>
      </c>
      <c r="U22" s="48">
        <f t="shared" si="4"/>
        <v>202.24</v>
      </c>
      <c r="V22" s="48">
        <f t="shared" si="6"/>
        <v>0</v>
      </c>
      <c r="W22" s="73">
        <f t="shared" si="5"/>
        <v>0</v>
      </c>
      <c r="X22" s="74"/>
      <c r="Y22" s="36"/>
      <c r="Z22" s="76"/>
      <c r="AA22" s="77"/>
      <c r="AB22" s="36"/>
      <c r="AC22" s="36"/>
      <c r="AD22" s="36"/>
    </row>
    <row r="23" ht="30" customHeight="1" spans="1:32">
      <c r="A23" s="21" t="s">
        <v>266</v>
      </c>
      <c r="B23" s="21" t="s">
        <v>267</v>
      </c>
      <c r="C23" s="21" t="s">
        <v>265</v>
      </c>
      <c r="D23" s="21"/>
      <c r="E23" s="71">
        <v>1200</v>
      </c>
      <c r="F23" s="71"/>
      <c r="G23" s="71"/>
      <c r="H23" s="71"/>
      <c r="I23" s="71"/>
      <c r="J23" s="48">
        <v>2.56</v>
      </c>
      <c r="K23" s="78">
        <f t="shared" si="8"/>
        <v>3072</v>
      </c>
      <c r="L23" s="71">
        <f t="shared" ref="L23" si="10">1114-8</f>
        <v>1106</v>
      </c>
      <c r="M23" s="72">
        <f t="shared" si="0"/>
        <v>2831.36</v>
      </c>
      <c r="N23" s="48"/>
      <c r="O23" s="48">
        <f t="shared" si="1"/>
        <v>0</v>
      </c>
      <c r="P23" s="21">
        <v>94</v>
      </c>
      <c r="Q23" s="72">
        <f t="shared" si="2"/>
        <v>240.64</v>
      </c>
      <c r="R23" s="48"/>
      <c r="S23" s="48">
        <f t="shared" si="3"/>
        <v>0</v>
      </c>
      <c r="T23" s="48"/>
      <c r="U23" s="48">
        <f t="shared" si="4"/>
        <v>0</v>
      </c>
      <c r="V23" s="48">
        <f t="shared" si="6"/>
        <v>0</v>
      </c>
      <c r="W23" s="73">
        <f t="shared" si="5"/>
        <v>-1.4210854715202e-13</v>
      </c>
      <c r="X23" s="74"/>
      <c r="Y23" s="36"/>
      <c r="Z23" s="76"/>
      <c r="AA23" s="77"/>
      <c r="AB23" s="36"/>
      <c r="AC23" s="36"/>
      <c r="AD23" s="36"/>
    </row>
    <row r="24" ht="30" customHeight="1" spans="1:32">
      <c r="A24" s="21" t="s">
        <v>268</v>
      </c>
      <c r="B24" s="21" t="s">
        <v>269</v>
      </c>
      <c r="C24" s="21" t="s">
        <v>265</v>
      </c>
      <c r="D24" s="21"/>
      <c r="E24" s="71">
        <f>1000+600</f>
        <v>1600</v>
      </c>
      <c r="F24" s="71"/>
      <c r="G24" s="71"/>
      <c r="H24" s="71"/>
      <c r="I24" s="71"/>
      <c r="J24" s="48">
        <v>2.56</v>
      </c>
      <c r="K24" s="78">
        <f t="shared" si="8"/>
        <v>4096</v>
      </c>
      <c r="L24" s="71">
        <f>1341</f>
        <v>1341</v>
      </c>
      <c r="M24" s="72">
        <f t="shared" si="0"/>
        <v>3432.96</v>
      </c>
      <c r="N24" s="48"/>
      <c r="O24" s="48">
        <f t="shared" si="1"/>
        <v>0</v>
      </c>
      <c r="P24" s="21">
        <v>6</v>
      </c>
      <c r="Q24" s="72">
        <f t="shared" si="2"/>
        <v>15.36</v>
      </c>
      <c r="R24" s="48">
        <f>28-14</f>
        <v>14</v>
      </c>
      <c r="S24" s="48">
        <f t="shared" si="3"/>
        <v>35.84</v>
      </c>
      <c r="T24" s="48">
        <f>231+8</f>
        <v>239</v>
      </c>
      <c r="U24" s="48">
        <f t="shared" si="4"/>
        <v>611.84</v>
      </c>
      <c r="V24" s="48">
        <f t="shared" si="6"/>
        <v>0</v>
      </c>
      <c r="W24" s="73">
        <f t="shared" si="5"/>
        <v>0</v>
      </c>
      <c r="X24" s="74"/>
      <c r="Y24" s="36"/>
      <c r="Z24" s="76"/>
      <c r="AA24" s="77"/>
      <c r="AB24" s="36"/>
      <c r="AC24" s="36"/>
      <c r="AD24" s="36"/>
    </row>
    <row r="25" ht="30" customHeight="1" spans="1:32">
      <c r="A25" s="21" t="s">
        <v>160</v>
      </c>
      <c r="B25" s="21" t="s">
        <v>270</v>
      </c>
      <c r="C25" s="21" t="s">
        <v>162</v>
      </c>
      <c r="D25" s="21" t="s">
        <v>271</v>
      </c>
      <c r="E25" s="71">
        <v>1440</v>
      </c>
      <c r="F25" s="71"/>
      <c r="G25" s="71"/>
      <c r="H25" s="71"/>
      <c r="I25" s="71">
        <v>1440</v>
      </c>
      <c r="J25" s="48">
        <v>2.2</v>
      </c>
      <c r="K25" s="48">
        <f t="shared" si="8"/>
        <v>3168</v>
      </c>
      <c r="L25" s="71"/>
      <c r="M25" s="72">
        <f t="shared" si="0"/>
        <v>0</v>
      </c>
      <c r="N25" s="48"/>
      <c r="O25" s="48">
        <f t="shared" si="1"/>
        <v>0</v>
      </c>
      <c r="P25" s="21">
        <f>240*6</f>
        <v>1440</v>
      </c>
      <c r="Q25" s="72">
        <f t="shared" si="2"/>
        <v>3168</v>
      </c>
      <c r="R25" s="48"/>
      <c r="S25" s="48">
        <f t="shared" si="3"/>
        <v>0</v>
      </c>
      <c r="T25" s="48"/>
      <c r="U25" s="48">
        <f t="shared" si="4"/>
        <v>0</v>
      </c>
      <c r="V25" s="48">
        <f t="shared" si="6"/>
        <v>0</v>
      </c>
      <c r="W25" s="73">
        <f t="shared" si="5"/>
        <v>0</v>
      </c>
      <c r="X25" s="74"/>
      <c r="Y25" s="36">
        <v>4.8</v>
      </c>
      <c r="Z25" s="76">
        <f>Y25*E25</f>
        <v>6912</v>
      </c>
      <c r="AA25" s="36"/>
      <c r="AB25" s="36"/>
      <c r="AC25" s="36"/>
      <c r="AD25" s="36"/>
    </row>
    <row r="26" ht="30" customHeight="1" spans="1:32">
      <c r="A26" s="21" t="s">
        <v>183</v>
      </c>
      <c r="B26" s="21" t="s">
        <v>272</v>
      </c>
      <c r="C26" s="21" t="s">
        <v>185</v>
      </c>
      <c r="D26" s="21" t="s">
        <v>186</v>
      </c>
      <c r="E26" s="71">
        <v>240</v>
      </c>
      <c r="F26" s="71"/>
      <c r="G26" s="71"/>
      <c r="H26" s="71"/>
      <c r="I26" s="71"/>
      <c r="J26" s="48">
        <v>0</v>
      </c>
      <c r="K26" s="48">
        <f t="shared" si="8"/>
        <v>0</v>
      </c>
      <c r="L26" s="71"/>
      <c r="M26" s="72">
        <f t="shared" si="0"/>
        <v>0</v>
      </c>
      <c r="N26" s="48"/>
      <c r="O26" s="48">
        <f t="shared" si="1"/>
        <v>0</v>
      </c>
      <c r="P26" s="21">
        <v>240</v>
      </c>
      <c r="Q26" s="72">
        <f t="shared" si="2"/>
        <v>0</v>
      </c>
      <c r="R26" s="48"/>
      <c r="S26" s="48">
        <f t="shared" si="3"/>
        <v>0</v>
      </c>
      <c r="T26" s="48"/>
      <c r="U26" s="48">
        <f t="shared" si="4"/>
        <v>0</v>
      </c>
      <c r="V26" s="48">
        <f t="shared" si="6"/>
        <v>0</v>
      </c>
      <c r="W26" s="73">
        <f t="shared" si="5"/>
        <v>0</v>
      </c>
      <c r="X26" s="74"/>
      <c r="Y26" s="36">
        <v>4.8</v>
      </c>
      <c r="Z26" s="76">
        <f>Y26*E26</f>
        <v>1152</v>
      </c>
      <c r="AA26" s="36"/>
      <c r="AB26" s="36"/>
      <c r="AC26" s="36"/>
      <c r="AD26" s="36"/>
    </row>
    <row r="27" ht="30" customHeight="1" spans="1:32">
      <c r="A27" s="79" t="s">
        <v>166</v>
      </c>
      <c r="B27" s="80"/>
      <c r="C27" s="80"/>
      <c r="D27" s="80"/>
      <c r="E27" s="80"/>
      <c r="F27" s="81">
        <f t="array" ref="F27">SUM(F4:F26*J4:J26)</f>
        <v>51712.323943662</v>
      </c>
      <c r="G27" s="81">
        <f t="array" ref="G27">SUM(G4:G26*J4:J26)</f>
        <v>51070.8</v>
      </c>
      <c r="H27" s="81">
        <f t="array" ref="H27">SUM(H4:H26*J4:J26)</f>
        <v>65371.7183098591</v>
      </c>
      <c r="I27" s="82">
        <f t="array" ref="I27">SUM(I4:I26*J4:J26)</f>
        <v>8051.35774647887</v>
      </c>
      <c r="J27" s="83"/>
      <c r="K27" s="84">
        <f>SUM(K4:K26)</f>
        <v>185934.2</v>
      </c>
      <c r="L27" s="85">
        <f>SUM(L4:L26)</f>
        <v>28013</v>
      </c>
      <c r="M27" s="86">
        <f>SUM(M4:M26)</f>
        <v>149751.117873239</v>
      </c>
      <c r="N27" s="86">
        <f t="shared" ref="N27:W27" si="11">SUM(N4:N26)</f>
        <v>242</v>
      </c>
      <c r="O27" s="86">
        <f t="shared" si="11"/>
        <v>1193.99112676056</v>
      </c>
      <c r="P27" s="86">
        <f t="shared" si="11"/>
        <v>5020</v>
      </c>
      <c r="Q27" s="86">
        <f t="shared" si="11"/>
        <v>17980.280084507</v>
      </c>
      <c r="R27" s="86">
        <f t="shared" si="11"/>
        <v>464</v>
      </c>
      <c r="S27" s="86">
        <f t="shared" si="11"/>
        <v>2322.75408450704</v>
      </c>
      <c r="T27" s="86">
        <f t="shared" si="11"/>
        <v>2781</v>
      </c>
      <c r="U27" s="86">
        <f t="shared" si="11"/>
        <v>14686.0568309859</v>
      </c>
      <c r="V27" s="86">
        <f t="shared" si="11"/>
        <v>0</v>
      </c>
      <c r="W27" s="81">
        <f t="shared" si="11"/>
        <v>-6.3948846218409e-12</v>
      </c>
      <c r="X27" s="87"/>
      <c r="Y27" s="36"/>
      <c r="Z27" s="76">
        <f>SUM(Z4:Z13)</f>
        <v>204204</v>
      </c>
      <c r="AA27" s="36"/>
      <c r="AB27" s="36"/>
      <c r="AC27" s="36"/>
      <c r="AD27" s="36"/>
    </row>
    <row r="28" ht="17.25" customHeight="1" spans="1:32">
      <c r="A28" s="88" t="s">
        <v>193</v>
      </c>
      <c r="B28" s="88"/>
      <c r="C28" s="88"/>
      <c r="D28" s="88"/>
      <c r="E28" s="88"/>
      <c r="F28" s="89">
        <f>+F27+G27+H27+I27</f>
        <v>176206.2</v>
      </c>
      <c r="G28" s="45"/>
      <c r="H28" s="90" t="s">
        <v>273</v>
      </c>
      <c r="I28" s="90"/>
      <c r="J28" s="90"/>
      <c r="K28" s="91">
        <f>+K24+K23+K22</f>
        <v>9728</v>
      </c>
      <c r="L28" s="45"/>
      <c r="M28" s="45"/>
      <c r="N28" s="45"/>
      <c r="O28" s="45"/>
      <c r="P28" s="45"/>
      <c r="Q28" s="45"/>
      <c r="T28" s="36"/>
      <c r="U28" s="36"/>
      <c r="X28" s="36"/>
      <c r="Y28" s="36"/>
      <c r="Z28" s="77"/>
      <c r="AA28" s="77"/>
      <c r="AB28" s="77"/>
      <c r="AC28" s="77"/>
      <c r="AD28" s="77"/>
      <c r="AE28" s="53"/>
      <c r="AF28" s="53"/>
    </row>
    <row r="29" spans="1:32">
      <c r="A29" s="92"/>
      <c r="B29" s="92"/>
      <c r="C29" s="92"/>
      <c r="D29" s="92"/>
      <c r="E29" s="92"/>
      <c r="K29" s="93"/>
      <c r="L29" s="93"/>
      <c r="M29" s="93"/>
      <c r="N29" s="93"/>
      <c r="O29" s="93"/>
      <c r="P29" s="93"/>
      <c r="Q29" s="93"/>
      <c r="R29" s="94"/>
      <c r="S29" s="95"/>
      <c r="T29" s="93"/>
      <c r="U29" s="93"/>
      <c r="V29" s="95"/>
    </row>
    <row r="30" spans="1:32">
      <c r="A30" s="92"/>
      <c r="B30" s="92"/>
      <c r="C30" s="92"/>
      <c r="D30" s="92" t="s">
        <v>274</v>
      </c>
      <c r="E30" s="92"/>
      <c r="F30" s="52">
        <f>F27-K19</f>
        <v>31202.323943662</v>
      </c>
      <c r="G30" s="52">
        <f>G27-K20</f>
        <v>30562.8</v>
      </c>
      <c r="H30" s="52">
        <f>H27-K21</f>
        <v>32555.7183098591</v>
      </c>
      <c r="I30" s="52">
        <f>I27-K25</f>
        <v>4883.35774647887</v>
      </c>
      <c r="K30" s="93"/>
      <c r="L30" s="93"/>
      <c r="M30" s="93"/>
      <c r="N30" s="93"/>
      <c r="O30" s="93"/>
      <c r="P30" s="93"/>
      <c r="Q30" s="93"/>
      <c r="R30" s="94"/>
      <c r="S30" s="95"/>
      <c r="T30" s="93"/>
      <c r="U30" s="93"/>
      <c r="V30" s="95"/>
    </row>
    <row r="31" spans="1:32">
      <c r="A31" s="92"/>
      <c r="B31" s="92"/>
      <c r="C31" s="92"/>
      <c r="D31" s="92" t="s">
        <v>275</v>
      </c>
      <c r="E31" s="92"/>
      <c r="F31" s="52">
        <f>K19</f>
        <v>20510</v>
      </c>
      <c r="G31" s="52">
        <f>K20</f>
        <v>20508</v>
      </c>
      <c r="H31" s="52">
        <f>K21</f>
        <v>32816</v>
      </c>
      <c r="I31" s="52">
        <f>K25</f>
        <v>3168</v>
      </c>
      <c r="K31" s="93"/>
      <c r="L31" s="93"/>
      <c r="M31" s="93"/>
      <c r="N31" s="93"/>
      <c r="O31" s="93"/>
      <c r="P31" s="93"/>
      <c r="Q31" s="93"/>
      <c r="R31" s="94"/>
      <c r="S31" s="95"/>
      <c r="T31" s="93"/>
      <c r="U31" s="93"/>
      <c r="V31" s="95"/>
    </row>
    <row r="32" spans="1:32">
      <c r="A32" s="92"/>
      <c r="B32" s="92"/>
      <c r="C32" s="92"/>
      <c r="D32" s="92"/>
      <c r="E32" s="92"/>
      <c r="F32" s="52">
        <f>SUM(F30:F31)-F27</f>
        <v>0</v>
      </c>
      <c r="G32" s="52">
        <f>SUM(G30:G31)-G27</f>
        <v>0</v>
      </c>
      <c r="H32" s="52">
        <f>SUM(H30:H31)-H27</f>
        <v>0</v>
      </c>
      <c r="I32" s="52">
        <f>SUM(I30:I31)-I27</f>
        <v>0</v>
      </c>
      <c r="K32" s="93"/>
      <c r="L32" s="93"/>
      <c r="M32" s="93"/>
      <c r="N32" s="93"/>
      <c r="O32" s="93"/>
      <c r="P32" s="93"/>
      <c r="Q32" s="93"/>
      <c r="R32" s="94"/>
      <c r="S32" s="95"/>
      <c r="T32" s="93"/>
      <c r="U32" s="93"/>
      <c r="V32" s="95"/>
    </row>
    <row r="33" spans="1:31">
      <c r="A33" s="92"/>
      <c r="B33" s="92"/>
      <c r="C33" s="92"/>
      <c r="D33" s="92"/>
      <c r="E33" s="92"/>
      <c r="F33" s="52">
        <f>F27-'P&amp;L forcast 2021'!O21-'P&amp;L forcast 2021'!O28</f>
        <v>-46852.152056338</v>
      </c>
      <c r="G33" s="52">
        <f>G27-'P&amp;L forcast 2021'!O22-'P&amp;L forcast 2021'!O29</f>
        <v>-102940.516</v>
      </c>
      <c r="H33" s="52">
        <f>H27-'P&amp;L forcast 2021'!O24-'P&amp;L forcast 2021'!O31</f>
        <v>-334514.331490141</v>
      </c>
      <c r="I33" s="52">
        <f>I27-'P&amp;L forcast 2021'!O26-'P&amp;L forcast 2021'!O41</f>
        <v>8051.35774647887</v>
      </c>
      <c r="K33" s="93"/>
      <c r="L33" s="93"/>
      <c r="M33" s="93"/>
      <c r="N33" s="93"/>
      <c r="O33" s="93"/>
      <c r="P33" s="93"/>
      <c r="Q33" s="93"/>
      <c r="R33" s="94"/>
      <c r="S33" s="95"/>
      <c r="T33" s="93"/>
      <c r="U33" s="93"/>
      <c r="V33" s="95"/>
    </row>
    <row r="34" ht="17.25" customHeight="1" spans="1:31">
      <c r="A34" s="96"/>
      <c r="B34" s="96"/>
      <c r="C34" s="96"/>
      <c r="D34" s="96"/>
      <c r="E34" s="96"/>
      <c r="I34" s="97" t="s">
        <v>276</v>
      </c>
      <c r="J34" s="97"/>
      <c r="K34" s="53">
        <f>+SUM(K4:K21)+K25</f>
        <v>176206.2</v>
      </c>
      <c r="L34" s="93">
        <f>+L22+L23+L24+L26</f>
        <v>3214</v>
      </c>
      <c r="M34" s="53">
        <f>+SUM(M4:M21)+M25</f>
        <v>141523.277873239</v>
      </c>
      <c r="N34" s="93">
        <f>+N22+N23+N24+N26</f>
        <v>22</v>
      </c>
      <c r="O34" s="53">
        <f>+SUM(O4:O21)+O25</f>
        <v>1137.67112676056</v>
      </c>
      <c r="P34" s="93">
        <f>+P22+P23+P24+P26</f>
        <v>440</v>
      </c>
      <c r="Q34" s="53">
        <f>+SUM(Q4:Q21)+Q25</f>
        <v>17468.280084507</v>
      </c>
      <c r="R34" s="93">
        <f>+R22+R23+R24+R26</f>
        <v>46</v>
      </c>
      <c r="S34" s="53">
        <f>+SUM(S4:S21)+S25</f>
        <v>2204.99408450704</v>
      </c>
      <c r="T34" s="93">
        <f>+T22+T23+T24+T26</f>
        <v>318</v>
      </c>
      <c r="U34" s="53">
        <f>+SUM(U4:U21)+U25</f>
        <v>13871.9768309859</v>
      </c>
      <c r="V34" s="93">
        <f>+V22+V23+V24+V26</f>
        <v>0</v>
      </c>
      <c r="W34" s="53">
        <f>+K34-M34-O34-Q34-S34-U34</f>
        <v>-2.5465851649642e-11</v>
      </c>
    </row>
    <row r="35" ht="24.95" customHeight="1" spans="1:31">
      <c r="A35" s="92" t="s">
        <v>277</v>
      </c>
      <c r="B35" s="92"/>
      <c r="C35" s="92"/>
      <c r="D35" s="92"/>
      <c r="E35" s="92"/>
      <c r="I35" s="52" t="s">
        <v>278</v>
      </c>
      <c r="K35" s="53">
        <f>+O34+U34</f>
        <v>15009.6479577465</v>
      </c>
      <c r="O35" s="48"/>
      <c r="P35" s="63" t="s">
        <v>279</v>
      </c>
      <c r="Q35" s="63" t="s">
        <v>217</v>
      </c>
      <c r="R35" s="63" t="s">
        <v>280</v>
      </c>
      <c r="S35" s="68" t="s">
        <v>218</v>
      </c>
      <c r="T35" s="36"/>
      <c r="V35" s="53"/>
      <c r="AE35" s="53"/>
    </row>
    <row r="36" ht="24.95" customHeight="1" spans="1:31">
      <c r="J36" s="98"/>
      <c r="O36" s="48" t="s">
        <v>122</v>
      </c>
      <c r="P36" s="48">
        <v>368</v>
      </c>
      <c r="Q36" s="48">
        <f>+P19+R19</f>
        <v>132</v>
      </c>
      <c r="R36" s="99">
        <v>0.17</v>
      </c>
      <c r="S36" s="71">
        <f>+P36*Q36/1.17*0.17</f>
        <v>7058.05128205128</v>
      </c>
      <c r="T36" s="36"/>
      <c r="V36" s="53"/>
      <c r="AE36" s="53"/>
    </row>
    <row r="37" ht="24.95" customHeight="1" spans="1:31">
      <c r="J37" s="98"/>
      <c r="O37" s="48" t="s">
        <v>123</v>
      </c>
      <c r="P37" s="48">
        <v>298</v>
      </c>
      <c r="Q37" s="48">
        <f>+P20+R20+P26</f>
        <v>334</v>
      </c>
      <c r="R37" s="99">
        <v>0.17</v>
      </c>
      <c r="S37" s="71">
        <f>+P37*Q37/1.17*0.17</f>
        <v>14461.9145299145</v>
      </c>
      <c r="T37" s="36"/>
      <c r="V37" s="53"/>
      <c r="AE37" s="53"/>
    </row>
    <row r="38" ht="24.95" customHeight="1" spans="1:31">
      <c r="G38" s="52">
        <f>3222+332+200+46</f>
        <v>3800</v>
      </c>
      <c r="J38" s="98"/>
      <c r="O38" s="48" t="s">
        <v>124</v>
      </c>
      <c r="P38" s="48">
        <v>258</v>
      </c>
      <c r="Q38" s="48">
        <f>+P21+R21</f>
        <v>20</v>
      </c>
      <c r="R38" s="99">
        <v>0.17</v>
      </c>
      <c r="S38" s="71">
        <f>+P38*Q38/1.17*0.17</f>
        <v>749.74358974359</v>
      </c>
      <c r="T38" s="36"/>
      <c r="V38" s="53"/>
      <c r="AE38" s="53"/>
    </row>
    <row r="39" ht="24.95" customHeight="1" spans="1:31">
      <c r="O39" s="61" t="s">
        <v>281</v>
      </c>
      <c r="P39" s="100"/>
      <c r="Q39" s="100"/>
      <c r="R39" s="62"/>
      <c r="S39" s="71">
        <f>SUM(S36:S38)</f>
        <v>22269.7094017094</v>
      </c>
      <c r="T39" s="36"/>
      <c r="V39" s="53"/>
      <c r="AE39" s="53"/>
    </row>
  </sheetData>
  <mergeCells count="24">
    <mergeCell ref="A1:W1"/>
    <mergeCell ref="L2:M2"/>
    <mergeCell ref="N2:O2"/>
    <mergeCell ref="P2:Q2"/>
    <mergeCell ref="R2:S2"/>
    <mergeCell ref="T2:U2"/>
    <mergeCell ref="V2:W2"/>
    <mergeCell ref="H28:J28"/>
    <mergeCell ref="A34:E34"/>
    <mergeCell ref="I34:J34"/>
    <mergeCell ref="A35:E35"/>
    <mergeCell ref="O39:R39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A28:E29"/>
  </mergeCells>
  <printOptions horizontalCentered="1"/>
  <pageMargins left="0" right="0" top="0.393700787401575" bottom="0.393700787401575" header="0.511811023622047" footer="0.078740157480315"/>
  <pageSetup paperSize="9" scale="50" orientation="landscape"/>
  <headerFooter>
    <oddFooter>&amp;C第 &amp;P 页，共 &amp;N 页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O930"/>
  <sheetViews>
    <sheetView showGridLines="0" workbookViewId="0">
      <pane ySplit="117" topLeftCell="A118" activePane="bottomLeft" state="frozen"/>
      <selection/>
      <selection pane="bottomLeft" activeCell="H572" sqref="H572"/>
    </sheetView>
  </sheetViews>
  <sheetFormatPr defaultColWidth="9" defaultRowHeight="10.8"/>
  <cols>
    <col min="1" max="1" width="5.37962962962963" style="36" customWidth="1"/>
    <col min="2" max="2" width="8.62962962962963" style="36" customWidth="1"/>
    <col min="3" max="3" width="5.37962962962963" style="36" customWidth="1"/>
    <col min="4" max="4" width="3.87962962962963" style="36" customWidth="1"/>
    <col min="5" max="5" width="7" style="36" customWidth="1"/>
    <col min="6" max="7" width="16.3796296296296" style="36" customWidth="1"/>
    <col min="8" max="10" width="11.75" style="36" customWidth="1"/>
    <col min="11" max="11" width="47.6296296296296" style="36" customWidth="1"/>
    <col min="12" max="13" width="9" style="36" hidden="1" customWidth="1"/>
    <col min="14" max="16384" width="9" style="36"/>
  </cols>
  <sheetData>
    <row r="1" ht="27.75" customHeight="1" spans="1:11">
      <c r="A1" s="37" t="s">
        <v>282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ht="11.25" customHeight="1" spans="1:11">
      <c r="A2" s="38" t="s">
        <v>283</v>
      </c>
      <c r="B2" s="38"/>
      <c r="C2" s="38"/>
      <c r="D2" s="38"/>
      <c r="E2" s="38"/>
      <c r="F2" s="38"/>
      <c r="G2" s="38"/>
      <c r="H2" s="38"/>
      <c r="I2" s="38"/>
      <c r="J2" s="38"/>
      <c r="K2" s="38"/>
    </row>
    <row r="3" ht="11.25" customHeight="1" spans="1:11">
      <c r="A3" s="39" t="s">
        <v>284</v>
      </c>
      <c r="B3" s="39" t="s">
        <v>285</v>
      </c>
      <c r="C3" s="39" t="s">
        <v>286</v>
      </c>
      <c r="D3" s="39" t="s">
        <v>287</v>
      </c>
      <c r="E3" s="39" t="s">
        <v>288</v>
      </c>
      <c r="F3" s="39" t="s">
        <v>289</v>
      </c>
      <c r="G3" s="39" t="s">
        <v>290</v>
      </c>
      <c r="H3" s="39" t="s">
        <v>291</v>
      </c>
      <c r="I3" s="39" t="s">
        <v>292</v>
      </c>
      <c r="J3" s="39" t="s">
        <v>293</v>
      </c>
      <c r="K3" s="39" t="s">
        <v>294</v>
      </c>
    </row>
    <row r="4" ht="21.6" spans="1:11">
      <c r="A4" s="21" t="s">
        <v>295</v>
      </c>
      <c r="B4" s="21"/>
      <c r="C4" s="21"/>
      <c r="D4" s="21"/>
      <c r="E4" s="21"/>
      <c r="F4" s="21"/>
      <c r="G4" s="21" t="s">
        <v>296</v>
      </c>
      <c r="H4" s="21"/>
      <c r="I4" s="21"/>
      <c r="J4" s="40">
        <v>582667.17</v>
      </c>
      <c r="K4" s="21"/>
    </row>
    <row r="5" ht="64.8" hidden="1" spans="1:11">
      <c r="A5" s="21" t="s">
        <v>295</v>
      </c>
      <c r="B5" s="21" t="s">
        <v>297</v>
      </c>
      <c r="C5" s="21" t="s">
        <v>298</v>
      </c>
      <c r="D5" s="21">
        <v>6</v>
      </c>
      <c r="E5" s="21" t="s">
        <v>299</v>
      </c>
      <c r="F5" s="21" t="s">
        <v>300</v>
      </c>
      <c r="G5" s="21" t="s">
        <v>301</v>
      </c>
      <c r="H5" s="40">
        <v>21359.22</v>
      </c>
      <c r="I5" s="40">
        <v>0</v>
      </c>
      <c r="J5" s="40">
        <v>604026.39</v>
      </c>
      <c r="K5" s="21"/>
    </row>
    <row r="6" ht="64.8" hidden="1" spans="1:11">
      <c r="A6" s="21" t="s">
        <v>295</v>
      </c>
      <c r="B6" s="21" t="s">
        <v>302</v>
      </c>
      <c r="C6" s="21" t="s">
        <v>298</v>
      </c>
      <c r="D6" s="21">
        <v>8</v>
      </c>
      <c r="E6" s="21" t="s">
        <v>299</v>
      </c>
      <c r="F6" s="21" t="s">
        <v>300</v>
      </c>
      <c r="G6" s="21" t="s">
        <v>303</v>
      </c>
      <c r="H6" s="40">
        <v>6491.52</v>
      </c>
      <c r="I6" s="40">
        <v>0</v>
      </c>
      <c r="J6" s="40">
        <v>610517.91</v>
      </c>
      <c r="K6" s="21"/>
    </row>
    <row r="7" ht="64.8" hidden="1" spans="1:11">
      <c r="A7" s="21" t="s">
        <v>295</v>
      </c>
      <c r="B7" s="21" t="s">
        <v>304</v>
      </c>
      <c r="C7" s="21" t="s">
        <v>298</v>
      </c>
      <c r="D7" s="21">
        <v>9</v>
      </c>
      <c r="E7" s="21" t="s">
        <v>299</v>
      </c>
      <c r="F7" s="21" t="s">
        <v>300</v>
      </c>
      <c r="G7" s="21" t="s">
        <v>305</v>
      </c>
      <c r="H7" s="40">
        <v>3300</v>
      </c>
      <c r="I7" s="40">
        <v>0</v>
      </c>
      <c r="J7" s="40">
        <v>613817.91</v>
      </c>
      <c r="K7" s="21"/>
    </row>
    <row r="8" ht="64.8" hidden="1" spans="1:11">
      <c r="A8" s="21" t="s">
        <v>295</v>
      </c>
      <c r="B8" s="21" t="s">
        <v>304</v>
      </c>
      <c r="C8" s="21" t="s">
        <v>298</v>
      </c>
      <c r="D8" s="21">
        <v>9</v>
      </c>
      <c r="E8" s="21" t="s">
        <v>299</v>
      </c>
      <c r="F8" s="21" t="s">
        <v>300</v>
      </c>
      <c r="G8" s="21" t="s">
        <v>306</v>
      </c>
      <c r="H8" s="40">
        <v>23111.04</v>
      </c>
      <c r="I8" s="40">
        <v>0</v>
      </c>
      <c r="J8" s="40">
        <v>636928.95</v>
      </c>
      <c r="K8" s="21"/>
    </row>
    <row r="9" ht="64.8" hidden="1" spans="1:11">
      <c r="A9" s="21" t="s">
        <v>295</v>
      </c>
      <c r="B9" s="21" t="s">
        <v>307</v>
      </c>
      <c r="C9" s="21" t="s">
        <v>298</v>
      </c>
      <c r="D9" s="21">
        <v>10</v>
      </c>
      <c r="E9" s="21" t="s">
        <v>299</v>
      </c>
      <c r="F9" s="21" t="s">
        <v>300</v>
      </c>
      <c r="G9" s="21" t="s">
        <v>308</v>
      </c>
      <c r="H9" s="40">
        <v>7978.06</v>
      </c>
      <c r="I9" s="40">
        <v>0</v>
      </c>
      <c r="J9" s="40">
        <v>644907.01</v>
      </c>
      <c r="K9" s="21"/>
    </row>
    <row r="10" ht="64.8" hidden="1" spans="1:11">
      <c r="A10" s="21" t="s">
        <v>295</v>
      </c>
      <c r="B10" s="21" t="s">
        <v>309</v>
      </c>
      <c r="C10" s="21" t="s">
        <v>298</v>
      </c>
      <c r="D10" s="21">
        <v>12</v>
      </c>
      <c r="E10" s="21" t="s">
        <v>299</v>
      </c>
      <c r="F10" s="21" t="s">
        <v>300</v>
      </c>
      <c r="G10" s="21" t="s">
        <v>310</v>
      </c>
      <c r="H10" s="40">
        <v>5760</v>
      </c>
      <c r="I10" s="40">
        <v>0</v>
      </c>
      <c r="J10" s="40">
        <v>650667.01</v>
      </c>
      <c r="K10" s="21"/>
    </row>
    <row r="11" ht="64.8" hidden="1" spans="1:11">
      <c r="A11" s="21" t="s">
        <v>295</v>
      </c>
      <c r="B11" s="21" t="s">
        <v>311</v>
      </c>
      <c r="C11" s="21" t="s">
        <v>298</v>
      </c>
      <c r="D11" s="21">
        <v>17</v>
      </c>
      <c r="E11" s="21" t="s">
        <v>299</v>
      </c>
      <c r="F11" s="21" t="s">
        <v>300</v>
      </c>
      <c r="G11" s="21" t="s">
        <v>312</v>
      </c>
      <c r="H11" s="40">
        <v>2799</v>
      </c>
      <c r="I11" s="40">
        <v>0</v>
      </c>
      <c r="J11" s="40">
        <v>653466.01</v>
      </c>
      <c r="K11" s="21"/>
    </row>
    <row r="12" ht="64.8" hidden="1" spans="1:11">
      <c r="A12" s="21" t="s">
        <v>295</v>
      </c>
      <c r="B12" s="21" t="s">
        <v>313</v>
      </c>
      <c r="C12" s="21" t="s">
        <v>314</v>
      </c>
      <c r="D12" s="21">
        <v>15</v>
      </c>
      <c r="E12" s="21" t="s">
        <v>299</v>
      </c>
      <c r="F12" s="21" t="s">
        <v>300</v>
      </c>
      <c r="G12" s="21" t="s">
        <v>315</v>
      </c>
      <c r="H12" s="40">
        <v>1941.75</v>
      </c>
      <c r="I12" s="40">
        <v>0</v>
      </c>
      <c r="J12" s="40">
        <v>655407.76</v>
      </c>
      <c r="K12" s="21"/>
    </row>
    <row r="13" ht="43.2" hidden="1" spans="1:11">
      <c r="A13" s="21" t="s">
        <v>295</v>
      </c>
      <c r="B13" s="21" t="s">
        <v>313</v>
      </c>
      <c r="C13" s="21" t="s">
        <v>316</v>
      </c>
      <c r="D13" s="21">
        <v>2</v>
      </c>
      <c r="E13" s="21" t="s">
        <v>299</v>
      </c>
      <c r="F13" s="21" t="s">
        <v>300</v>
      </c>
      <c r="G13" s="21" t="s">
        <v>317</v>
      </c>
      <c r="H13" s="40">
        <v>2880</v>
      </c>
      <c r="I13" s="40">
        <v>0</v>
      </c>
      <c r="J13" s="40">
        <v>658287.76</v>
      </c>
      <c r="K13" s="21"/>
    </row>
    <row r="14" ht="97.2" hidden="1" spans="1:11">
      <c r="A14" s="21" t="s">
        <v>295</v>
      </c>
      <c r="B14" s="21" t="s">
        <v>318</v>
      </c>
      <c r="C14" s="21" t="s">
        <v>319</v>
      </c>
      <c r="D14" s="21">
        <v>7</v>
      </c>
      <c r="E14" s="21" t="s">
        <v>299</v>
      </c>
      <c r="F14" s="21" t="s">
        <v>300</v>
      </c>
      <c r="G14" s="21" t="s">
        <v>320</v>
      </c>
      <c r="H14" s="40">
        <v>0</v>
      </c>
      <c r="I14" s="40">
        <v>500</v>
      </c>
      <c r="J14" s="40">
        <v>657787.76</v>
      </c>
      <c r="K14" s="21"/>
    </row>
    <row r="15" ht="97.2" hidden="1" spans="1:11">
      <c r="A15" s="21" t="s">
        <v>295</v>
      </c>
      <c r="B15" s="21" t="s">
        <v>318</v>
      </c>
      <c r="C15" s="21" t="s">
        <v>319</v>
      </c>
      <c r="D15" s="21">
        <v>7</v>
      </c>
      <c r="E15" s="21" t="s">
        <v>299</v>
      </c>
      <c r="F15" s="21" t="s">
        <v>300</v>
      </c>
      <c r="G15" s="21" t="s">
        <v>321</v>
      </c>
      <c r="H15" s="40">
        <v>0</v>
      </c>
      <c r="I15" s="40">
        <v>1257.12</v>
      </c>
      <c r="J15" s="40">
        <v>656530.64</v>
      </c>
      <c r="K15" s="21"/>
    </row>
    <row r="16" ht="97.2" hidden="1" spans="1:11">
      <c r="A16" s="21" t="s">
        <v>295</v>
      </c>
      <c r="B16" s="21" t="s">
        <v>318</v>
      </c>
      <c r="C16" s="21" t="s">
        <v>319</v>
      </c>
      <c r="D16" s="21">
        <v>7</v>
      </c>
      <c r="E16" s="21" t="s">
        <v>299</v>
      </c>
      <c r="F16" s="21" t="s">
        <v>300</v>
      </c>
      <c r="G16" s="21" t="s">
        <v>322</v>
      </c>
      <c r="H16" s="40">
        <v>0</v>
      </c>
      <c r="I16" s="40">
        <v>280</v>
      </c>
      <c r="J16" s="40">
        <v>656250.64</v>
      </c>
      <c r="K16" s="21"/>
    </row>
    <row r="17" ht="97.2" hidden="1" spans="1:11">
      <c r="A17" s="21" t="s">
        <v>295</v>
      </c>
      <c r="B17" s="21" t="s">
        <v>318</v>
      </c>
      <c r="C17" s="21" t="s">
        <v>319</v>
      </c>
      <c r="D17" s="21">
        <v>7</v>
      </c>
      <c r="E17" s="21" t="s">
        <v>299</v>
      </c>
      <c r="F17" s="21" t="s">
        <v>300</v>
      </c>
      <c r="G17" s="21" t="s">
        <v>323</v>
      </c>
      <c r="H17" s="40">
        <v>0</v>
      </c>
      <c r="I17" s="40">
        <v>804.7</v>
      </c>
      <c r="J17" s="40">
        <v>655445.94</v>
      </c>
      <c r="K17" s="21"/>
    </row>
    <row r="18" ht="97.2" hidden="1" spans="1:11">
      <c r="A18" s="21" t="s">
        <v>295</v>
      </c>
      <c r="B18" s="21" t="s">
        <v>318</v>
      </c>
      <c r="C18" s="21" t="s">
        <v>319</v>
      </c>
      <c r="D18" s="21">
        <v>7</v>
      </c>
      <c r="E18" s="21" t="s">
        <v>299</v>
      </c>
      <c r="F18" s="21" t="s">
        <v>300</v>
      </c>
      <c r="G18" s="21" t="s">
        <v>324</v>
      </c>
      <c r="H18" s="40">
        <v>0</v>
      </c>
      <c r="I18" s="40">
        <v>900</v>
      </c>
      <c r="J18" s="40">
        <v>654545.94</v>
      </c>
      <c r="K18" s="21"/>
    </row>
    <row r="19" ht="97.2" hidden="1" spans="1:11">
      <c r="A19" s="21" t="s">
        <v>295</v>
      </c>
      <c r="B19" s="21" t="s">
        <v>318</v>
      </c>
      <c r="C19" s="21" t="s">
        <v>319</v>
      </c>
      <c r="D19" s="21">
        <v>7</v>
      </c>
      <c r="E19" s="21" t="s">
        <v>299</v>
      </c>
      <c r="F19" s="21" t="s">
        <v>300</v>
      </c>
      <c r="G19" s="21" t="s">
        <v>325</v>
      </c>
      <c r="H19" s="40">
        <v>0</v>
      </c>
      <c r="I19" s="40">
        <v>654.04</v>
      </c>
      <c r="J19" s="40">
        <v>653891.9</v>
      </c>
      <c r="K19" s="21"/>
    </row>
    <row r="20" ht="97.2" hidden="1" spans="1:11">
      <c r="A20" s="21" t="s">
        <v>295</v>
      </c>
      <c r="B20" s="21" t="s">
        <v>318</v>
      </c>
      <c r="C20" s="21" t="s">
        <v>319</v>
      </c>
      <c r="D20" s="21">
        <v>7</v>
      </c>
      <c r="E20" s="21" t="s">
        <v>299</v>
      </c>
      <c r="F20" s="21" t="s">
        <v>300</v>
      </c>
      <c r="G20" s="21" t="s">
        <v>326</v>
      </c>
      <c r="H20" s="40">
        <v>0</v>
      </c>
      <c r="I20" s="40">
        <v>4000</v>
      </c>
      <c r="J20" s="40">
        <v>649891.9</v>
      </c>
      <c r="K20" s="21"/>
    </row>
    <row r="21" ht="97.2" hidden="1" spans="1:11">
      <c r="A21" s="21" t="s">
        <v>295</v>
      </c>
      <c r="B21" s="21" t="s">
        <v>318</v>
      </c>
      <c r="C21" s="21" t="s">
        <v>319</v>
      </c>
      <c r="D21" s="21">
        <v>8</v>
      </c>
      <c r="E21" s="21" t="s">
        <v>299</v>
      </c>
      <c r="F21" s="21" t="s">
        <v>300</v>
      </c>
      <c r="G21" s="21" t="s">
        <v>327</v>
      </c>
      <c r="H21" s="40">
        <v>0</v>
      </c>
      <c r="I21" s="40">
        <v>24000</v>
      </c>
      <c r="J21" s="40">
        <v>625891.9</v>
      </c>
      <c r="K21" s="21"/>
    </row>
    <row r="22" ht="97.2" hidden="1" spans="1:11">
      <c r="A22" s="21" t="s">
        <v>295</v>
      </c>
      <c r="B22" s="21" t="s">
        <v>318</v>
      </c>
      <c r="C22" s="21" t="s">
        <v>319</v>
      </c>
      <c r="D22" s="21">
        <v>8</v>
      </c>
      <c r="E22" s="21" t="s">
        <v>299</v>
      </c>
      <c r="F22" s="21" t="s">
        <v>300</v>
      </c>
      <c r="G22" s="21" t="s">
        <v>328</v>
      </c>
      <c r="H22" s="40">
        <v>0</v>
      </c>
      <c r="I22" s="40">
        <v>4800</v>
      </c>
      <c r="J22" s="40">
        <v>621091.9</v>
      </c>
      <c r="K22" s="21"/>
    </row>
    <row r="23" ht="97.2" hidden="1" spans="1:11">
      <c r="A23" s="21" t="s">
        <v>295</v>
      </c>
      <c r="B23" s="21" t="s">
        <v>318</v>
      </c>
      <c r="C23" s="21" t="s">
        <v>319</v>
      </c>
      <c r="D23" s="21">
        <v>8</v>
      </c>
      <c r="E23" s="21" t="s">
        <v>299</v>
      </c>
      <c r="F23" s="21" t="s">
        <v>300</v>
      </c>
      <c r="G23" s="21" t="s">
        <v>329</v>
      </c>
      <c r="H23" s="40">
        <v>0</v>
      </c>
      <c r="I23" s="40">
        <v>1710</v>
      </c>
      <c r="J23" s="40">
        <v>619381.9</v>
      </c>
      <c r="K23" s="21"/>
    </row>
    <row r="24" ht="97.2" hidden="1" spans="1:11">
      <c r="A24" s="21" t="s">
        <v>295</v>
      </c>
      <c r="B24" s="21" t="s">
        <v>318</v>
      </c>
      <c r="C24" s="21" t="s">
        <v>319</v>
      </c>
      <c r="D24" s="21">
        <v>8</v>
      </c>
      <c r="E24" s="21" t="s">
        <v>299</v>
      </c>
      <c r="F24" s="21" t="s">
        <v>300</v>
      </c>
      <c r="G24" s="21" t="s">
        <v>330</v>
      </c>
      <c r="H24" s="40">
        <v>0</v>
      </c>
      <c r="I24" s="40">
        <v>3418.75</v>
      </c>
      <c r="J24" s="40">
        <v>615963.15</v>
      </c>
      <c r="K24" s="21"/>
    </row>
    <row r="25" ht="97.2" hidden="1" spans="1:11">
      <c r="A25" s="21" t="s">
        <v>295</v>
      </c>
      <c r="B25" s="21" t="s">
        <v>318</v>
      </c>
      <c r="C25" s="21" t="s">
        <v>319</v>
      </c>
      <c r="D25" s="21">
        <v>8</v>
      </c>
      <c r="E25" s="21" t="s">
        <v>299</v>
      </c>
      <c r="F25" s="21" t="s">
        <v>300</v>
      </c>
      <c r="G25" s="21" t="s">
        <v>331</v>
      </c>
      <c r="H25" s="40">
        <v>0</v>
      </c>
      <c r="I25" s="40">
        <v>433.33</v>
      </c>
      <c r="J25" s="40">
        <v>615529.82</v>
      </c>
      <c r="K25" s="21"/>
    </row>
    <row r="26" ht="97.2" hidden="1" spans="1:11">
      <c r="A26" s="21" t="s">
        <v>295</v>
      </c>
      <c r="B26" s="21" t="s">
        <v>318</v>
      </c>
      <c r="C26" s="21" t="s">
        <v>319</v>
      </c>
      <c r="D26" s="21">
        <v>8</v>
      </c>
      <c r="E26" s="21" t="s">
        <v>299</v>
      </c>
      <c r="F26" s="21" t="s">
        <v>300</v>
      </c>
      <c r="G26" s="21" t="s">
        <v>332</v>
      </c>
      <c r="H26" s="40">
        <v>0</v>
      </c>
      <c r="I26" s="40">
        <v>187.65</v>
      </c>
      <c r="J26" s="40">
        <v>615342.17</v>
      </c>
      <c r="K26" s="21"/>
    </row>
    <row r="27" ht="97.2" hidden="1" spans="1:11">
      <c r="A27" s="21" t="s">
        <v>295</v>
      </c>
      <c r="B27" s="21" t="s">
        <v>318</v>
      </c>
      <c r="C27" s="21" t="s">
        <v>319</v>
      </c>
      <c r="D27" s="21">
        <v>8</v>
      </c>
      <c r="E27" s="21" t="s">
        <v>299</v>
      </c>
      <c r="F27" s="21" t="s">
        <v>300</v>
      </c>
      <c r="G27" s="21" t="s">
        <v>333</v>
      </c>
      <c r="H27" s="40">
        <v>0</v>
      </c>
      <c r="I27" s="40">
        <v>4017.75</v>
      </c>
      <c r="J27" s="40">
        <v>611324.42</v>
      </c>
      <c r="K27" s="21"/>
    </row>
    <row r="28" ht="97.2" hidden="1" spans="1:11">
      <c r="A28" s="21" t="s">
        <v>295</v>
      </c>
      <c r="B28" s="21" t="s">
        <v>318</v>
      </c>
      <c r="C28" s="21" t="s">
        <v>319</v>
      </c>
      <c r="D28" s="21">
        <v>8</v>
      </c>
      <c r="E28" s="21" t="s">
        <v>299</v>
      </c>
      <c r="F28" s="21" t="s">
        <v>300</v>
      </c>
      <c r="G28" s="21" t="s">
        <v>334</v>
      </c>
      <c r="H28" s="40">
        <v>0</v>
      </c>
      <c r="I28" s="40">
        <v>1856.88</v>
      </c>
      <c r="J28" s="40">
        <v>609467.54</v>
      </c>
      <c r="K28" s="21"/>
    </row>
    <row r="29" ht="97.2" hidden="1" spans="1:11">
      <c r="A29" s="21" t="s">
        <v>295</v>
      </c>
      <c r="B29" s="21" t="s">
        <v>318</v>
      </c>
      <c r="C29" s="21" t="s">
        <v>319</v>
      </c>
      <c r="D29" s="21">
        <v>8</v>
      </c>
      <c r="E29" s="21" t="s">
        <v>299</v>
      </c>
      <c r="F29" s="21" t="s">
        <v>300</v>
      </c>
      <c r="G29" s="21" t="s">
        <v>335</v>
      </c>
      <c r="H29" s="40">
        <v>0</v>
      </c>
      <c r="I29" s="40">
        <v>250</v>
      </c>
      <c r="J29" s="40">
        <v>609217.54</v>
      </c>
      <c r="K29" s="21"/>
    </row>
    <row r="30" ht="97.2" hidden="1" spans="1:11">
      <c r="A30" s="21" t="s">
        <v>295</v>
      </c>
      <c r="B30" s="21" t="s">
        <v>318</v>
      </c>
      <c r="C30" s="21" t="s">
        <v>319</v>
      </c>
      <c r="D30" s="21">
        <v>8</v>
      </c>
      <c r="E30" s="21" t="s">
        <v>299</v>
      </c>
      <c r="F30" s="21" t="s">
        <v>300</v>
      </c>
      <c r="G30" s="21" t="s">
        <v>336</v>
      </c>
      <c r="H30" s="40">
        <v>0</v>
      </c>
      <c r="I30" s="40">
        <v>225</v>
      </c>
      <c r="J30" s="40">
        <v>608992.54</v>
      </c>
      <c r="K30" s="21"/>
    </row>
    <row r="31" ht="97.2" hidden="1" spans="1:11">
      <c r="A31" s="21" t="s">
        <v>295</v>
      </c>
      <c r="B31" s="21" t="s">
        <v>318</v>
      </c>
      <c r="C31" s="21" t="s">
        <v>319</v>
      </c>
      <c r="D31" s="21">
        <v>8</v>
      </c>
      <c r="E31" s="21" t="s">
        <v>299</v>
      </c>
      <c r="F31" s="21" t="s">
        <v>300</v>
      </c>
      <c r="G31" s="21" t="s">
        <v>337</v>
      </c>
      <c r="H31" s="40">
        <v>0</v>
      </c>
      <c r="I31" s="40">
        <v>1665.59</v>
      </c>
      <c r="J31" s="40">
        <v>607326.95</v>
      </c>
      <c r="K31" s="21"/>
    </row>
    <row r="32" ht="97.2" hidden="1" spans="1:11">
      <c r="A32" s="21" t="s">
        <v>295</v>
      </c>
      <c r="B32" s="21" t="s">
        <v>318</v>
      </c>
      <c r="C32" s="21" t="s">
        <v>319</v>
      </c>
      <c r="D32" s="21">
        <v>8</v>
      </c>
      <c r="E32" s="21" t="s">
        <v>299</v>
      </c>
      <c r="F32" s="21" t="s">
        <v>300</v>
      </c>
      <c r="G32" s="21" t="s">
        <v>338</v>
      </c>
      <c r="H32" s="40">
        <v>0</v>
      </c>
      <c r="I32" s="40">
        <v>22984</v>
      </c>
      <c r="J32" s="40">
        <v>584342.95</v>
      </c>
      <c r="K32" s="21"/>
    </row>
    <row r="33" ht="97.2" hidden="1" spans="1:11">
      <c r="A33" s="21" t="s">
        <v>295</v>
      </c>
      <c r="B33" s="21" t="s">
        <v>318</v>
      </c>
      <c r="C33" s="21" t="s">
        <v>319</v>
      </c>
      <c r="D33" s="21">
        <v>8</v>
      </c>
      <c r="E33" s="21" t="s">
        <v>299</v>
      </c>
      <c r="F33" s="21" t="s">
        <v>300</v>
      </c>
      <c r="G33" s="21" t="s">
        <v>339</v>
      </c>
      <c r="H33" s="40">
        <v>0</v>
      </c>
      <c r="I33" s="40">
        <v>4455.85</v>
      </c>
      <c r="J33" s="40">
        <v>579887.1</v>
      </c>
      <c r="K33" s="21"/>
    </row>
    <row r="34" ht="97.2" hidden="1" spans="1:11">
      <c r="A34" s="21" t="s">
        <v>295</v>
      </c>
      <c r="B34" s="21" t="s">
        <v>318</v>
      </c>
      <c r="C34" s="21" t="s">
        <v>319</v>
      </c>
      <c r="D34" s="21">
        <v>8</v>
      </c>
      <c r="E34" s="21" t="s">
        <v>299</v>
      </c>
      <c r="F34" s="21" t="s">
        <v>300</v>
      </c>
      <c r="G34" s="21" t="s">
        <v>340</v>
      </c>
      <c r="H34" s="40">
        <v>0</v>
      </c>
      <c r="I34" s="40">
        <v>1550</v>
      </c>
      <c r="J34" s="40">
        <v>578337.1</v>
      </c>
      <c r="K34" s="21"/>
    </row>
    <row r="35" ht="97.2" hidden="1" spans="1:11">
      <c r="A35" s="21" t="s">
        <v>295</v>
      </c>
      <c r="B35" s="21" t="s">
        <v>318</v>
      </c>
      <c r="C35" s="21" t="s">
        <v>319</v>
      </c>
      <c r="D35" s="21">
        <v>8</v>
      </c>
      <c r="E35" s="21" t="s">
        <v>299</v>
      </c>
      <c r="F35" s="21" t="s">
        <v>300</v>
      </c>
      <c r="G35" s="21" t="s">
        <v>341</v>
      </c>
      <c r="H35" s="40">
        <v>0</v>
      </c>
      <c r="I35" s="40">
        <v>2908.81</v>
      </c>
      <c r="J35" s="40">
        <v>575428.29</v>
      </c>
      <c r="K35" s="21"/>
    </row>
    <row r="36" ht="97.2" hidden="1" spans="1:11">
      <c r="A36" s="21" t="s">
        <v>295</v>
      </c>
      <c r="B36" s="21" t="s">
        <v>318</v>
      </c>
      <c r="C36" s="21" t="s">
        <v>319</v>
      </c>
      <c r="D36" s="21">
        <v>8</v>
      </c>
      <c r="E36" s="21" t="s">
        <v>299</v>
      </c>
      <c r="F36" s="21" t="s">
        <v>300</v>
      </c>
      <c r="G36" s="21" t="s">
        <v>342</v>
      </c>
      <c r="H36" s="40">
        <v>0</v>
      </c>
      <c r="I36" s="40">
        <v>609.33</v>
      </c>
      <c r="J36" s="40">
        <v>574818.96</v>
      </c>
      <c r="K36" s="21"/>
    </row>
    <row r="37" ht="97.2" hidden="1" spans="1:11">
      <c r="A37" s="21" t="s">
        <v>295</v>
      </c>
      <c r="B37" s="21" t="s">
        <v>318</v>
      </c>
      <c r="C37" s="21" t="s">
        <v>319</v>
      </c>
      <c r="D37" s="21">
        <v>8</v>
      </c>
      <c r="E37" s="21" t="s">
        <v>299</v>
      </c>
      <c r="F37" s="21" t="s">
        <v>300</v>
      </c>
      <c r="G37" s="21" t="s">
        <v>343</v>
      </c>
      <c r="H37" s="40">
        <v>0</v>
      </c>
      <c r="I37" s="40">
        <v>1433.33</v>
      </c>
      <c r="J37" s="40">
        <v>573385.63</v>
      </c>
      <c r="K37" s="21"/>
    </row>
    <row r="38" ht="97.2" hidden="1" spans="1:11">
      <c r="A38" s="21" t="s">
        <v>295</v>
      </c>
      <c r="B38" s="21" t="s">
        <v>318</v>
      </c>
      <c r="C38" s="21" t="s">
        <v>319</v>
      </c>
      <c r="D38" s="21">
        <v>8</v>
      </c>
      <c r="E38" s="21" t="s">
        <v>299</v>
      </c>
      <c r="F38" s="21" t="s">
        <v>300</v>
      </c>
      <c r="G38" s="21" t="s">
        <v>344</v>
      </c>
      <c r="H38" s="40">
        <v>0</v>
      </c>
      <c r="I38" s="40">
        <v>2358.49</v>
      </c>
      <c r="J38" s="40">
        <v>571027.14</v>
      </c>
      <c r="K38" s="21"/>
    </row>
    <row r="39" ht="97.2" hidden="1" spans="1:11">
      <c r="A39" s="21" t="s">
        <v>295</v>
      </c>
      <c r="B39" s="21" t="s">
        <v>318</v>
      </c>
      <c r="C39" s="21" t="s">
        <v>319</v>
      </c>
      <c r="D39" s="21">
        <v>8</v>
      </c>
      <c r="E39" s="21" t="s">
        <v>299</v>
      </c>
      <c r="F39" s="21" t="s">
        <v>300</v>
      </c>
      <c r="G39" s="21" t="s">
        <v>345</v>
      </c>
      <c r="H39" s="40">
        <v>0</v>
      </c>
      <c r="I39" s="40">
        <v>289.08</v>
      </c>
      <c r="J39" s="40">
        <v>570738.06</v>
      </c>
      <c r="K39" s="21"/>
    </row>
    <row r="40" ht="97.2" hidden="1" spans="1:11">
      <c r="A40" s="21" t="s">
        <v>295</v>
      </c>
      <c r="B40" s="21" t="s">
        <v>318</v>
      </c>
      <c r="C40" s="21" t="s">
        <v>319</v>
      </c>
      <c r="D40" s="21">
        <v>8</v>
      </c>
      <c r="E40" s="21" t="s">
        <v>299</v>
      </c>
      <c r="F40" s="21" t="s">
        <v>300</v>
      </c>
      <c r="G40" s="21" t="s">
        <v>346</v>
      </c>
      <c r="H40" s="40">
        <v>0</v>
      </c>
      <c r="I40" s="40">
        <v>3728.16</v>
      </c>
      <c r="J40" s="40">
        <v>567009.9</v>
      </c>
      <c r="K40" s="21"/>
    </row>
    <row r="41" ht="97.2" hidden="1" spans="1:11">
      <c r="A41" s="21" t="s">
        <v>295</v>
      </c>
      <c r="B41" s="21" t="s">
        <v>318</v>
      </c>
      <c r="C41" s="21" t="s">
        <v>319</v>
      </c>
      <c r="D41" s="21">
        <v>8</v>
      </c>
      <c r="E41" s="21" t="s">
        <v>299</v>
      </c>
      <c r="F41" s="21" t="s">
        <v>300</v>
      </c>
      <c r="G41" s="21" t="s">
        <v>347</v>
      </c>
      <c r="H41" s="40">
        <v>0</v>
      </c>
      <c r="I41" s="40">
        <v>6261.39</v>
      </c>
      <c r="J41" s="40">
        <v>560748.51</v>
      </c>
      <c r="K41" s="21"/>
    </row>
    <row r="42" ht="97.2" hidden="1" spans="1:11">
      <c r="A42" s="21" t="s">
        <v>295</v>
      </c>
      <c r="B42" s="21" t="s">
        <v>318</v>
      </c>
      <c r="C42" s="21" t="s">
        <v>319</v>
      </c>
      <c r="D42" s="21">
        <v>8</v>
      </c>
      <c r="E42" s="21" t="s">
        <v>299</v>
      </c>
      <c r="F42" s="21" t="s">
        <v>300</v>
      </c>
      <c r="G42" s="21" t="s">
        <v>348</v>
      </c>
      <c r="H42" s="40">
        <v>0</v>
      </c>
      <c r="I42" s="40">
        <v>800</v>
      </c>
      <c r="J42" s="40">
        <v>559948.51</v>
      </c>
      <c r="K42" s="21"/>
    </row>
    <row r="43" ht="97.2" hidden="1" spans="1:11">
      <c r="A43" s="21" t="s">
        <v>295</v>
      </c>
      <c r="B43" s="21" t="s">
        <v>318</v>
      </c>
      <c r="C43" s="21" t="s">
        <v>319</v>
      </c>
      <c r="D43" s="21">
        <v>8</v>
      </c>
      <c r="E43" s="21" t="s">
        <v>299</v>
      </c>
      <c r="F43" s="21" t="s">
        <v>300</v>
      </c>
      <c r="G43" s="21" t="s">
        <v>349</v>
      </c>
      <c r="H43" s="40">
        <v>0</v>
      </c>
      <c r="I43" s="40">
        <v>5396.22</v>
      </c>
      <c r="J43" s="40">
        <v>554552.29</v>
      </c>
      <c r="K43" s="21"/>
    </row>
    <row r="44" ht="97.2" hidden="1" spans="1:11">
      <c r="A44" s="21" t="s">
        <v>295</v>
      </c>
      <c r="B44" s="21" t="s">
        <v>318</v>
      </c>
      <c r="C44" s="21" t="s">
        <v>319</v>
      </c>
      <c r="D44" s="21">
        <v>8</v>
      </c>
      <c r="E44" s="21" t="s">
        <v>299</v>
      </c>
      <c r="F44" s="21" t="s">
        <v>300</v>
      </c>
      <c r="G44" s="21" t="s">
        <v>350</v>
      </c>
      <c r="H44" s="40">
        <v>0</v>
      </c>
      <c r="I44" s="40">
        <v>664.84</v>
      </c>
      <c r="J44" s="40">
        <v>553887.45</v>
      </c>
      <c r="K44" s="21"/>
    </row>
    <row r="45" ht="97.2" hidden="1" spans="1:11">
      <c r="A45" s="21" t="s">
        <v>295</v>
      </c>
      <c r="B45" s="21" t="s">
        <v>318</v>
      </c>
      <c r="C45" s="21" t="s">
        <v>319</v>
      </c>
      <c r="D45" s="21">
        <v>8</v>
      </c>
      <c r="E45" s="21" t="s">
        <v>299</v>
      </c>
      <c r="F45" s="21" t="s">
        <v>300</v>
      </c>
      <c r="G45" s="21" t="s">
        <v>351</v>
      </c>
      <c r="H45" s="40">
        <v>0</v>
      </c>
      <c r="I45" s="40">
        <v>23450.13</v>
      </c>
      <c r="J45" s="40">
        <v>530437.32</v>
      </c>
      <c r="K45" s="21"/>
    </row>
    <row r="46" ht="97.2" hidden="1" spans="1:11">
      <c r="A46" s="21" t="s">
        <v>295</v>
      </c>
      <c r="B46" s="21" t="s">
        <v>318</v>
      </c>
      <c r="C46" s="21" t="s">
        <v>319</v>
      </c>
      <c r="D46" s="21">
        <v>8</v>
      </c>
      <c r="E46" s="21" t="s">
        <v>299</v>
      </c>
      <c r="F46" s="21" t="s">
        <v>300</v>
      </c>
      <c r="G46" s="21" t="s">
        <v>352</v>
      </c>
      <c r="H46" s="40">
        <v>0</v>
      </c>
      <c r="I46" s="40">
        <v>1000</v>
      </c>
      <c r="J46" s="40">
        <v>529437.32</v>
      </c>
      <c r="K46" s="21"/>
    </row>
    <row r="47" ht="97.2" hidden="1" spans="1:11">
      <c r="A47" s="21" t="s">
        <v>295</v>
      </c>
      <c r="B47" s="21" t="s">
        <v>318</v>
      </c>
      <c r="C47" s="21" t="s">
        <v>319</v>
      </c>
      <c r="D47" s="21">
        <v>8</v>
      </c>
      <c r="E47" s="21" t="s">
        <v>299</v>
      </c>
      <c r="F47" s="21" t="s">
        <v>300</v>
      </c>
      <c r="G47" s="21" t="s">
        <v>353</v>
      </c>
      <c r="H47" s="40">
        <v>0</v>
      </c>
      <c r="I47" s="40">
        <v>1779.94</v>
      </c>
      <c r="J47" s="40">
        <v>527657.38</v>
      </c>
      <c r="K47" s="21"/>
    </row>
    <row r="48" ht="97.2" hidden="1" spans="1:11">
      <c r="A48" s="21" t="s">
        <v>295</v>
      </c>
      <c r="B48" s="21" t="s">
        <v>318</v>
      </c>
      <c r="C48" s="21" t="s">
        <v>319</v>
      </c>
      <c r="D48" s="21">
        <v>8</v>
      </c>
      <c r="E48" s="21" t="s">
        <v>299</v>
      </c>
      <c r="F48" s="21" t="s">
        <v>300</v>
      </c>
      <c r="G48" s="21" t="s">
        <v>354</v>
      </c>
      <c r="H48" s="40">
        <v>0</v>
      </c>
      <c r="I48" s="40">
        <v>3245.76</v>
      </c>
      <c r="J48" s="40">
        <v>524411.62</v>
      </c>
      <c r="K48" s="21"/>
    </row>
    <row r="49" ht="97.2" hidden="1" spans="1:11">
      <c r="A49" s="21" t="s">
        <v>295</v>
      </c>
      <c r="B49" s="21" t="s">
        <v>318</v>
      </c>
      <c r="C49" s="21" t="s">
        <v>319</v>
      </c>
      <c r="D49" s="21">
        <v>8</v>
      </c>
      <c r="E49" s="21" t="s">
        <v>299</v>
      </c>
      <c r="F49" s="21" t="s">
        <v>300</v>
      </c>
      <c r="G49" s="21" t="s">
        <v>355</v>
      </c>
      <c r="H49" s="40">
        <v>0</v>
      </c>
      <c r="I49" s="40">
        <v>1100</v>
      </c>
      <c r="J49" s="40">
        <v>523311.62</v>
      </c>
      <c r="K49" s="21"/>
    </row>
    <row r="50" ht="97.2" hidden="1" spans="1:11">
      <c r="A50" s="21" t="s">
        <v>295</v>
      </c>
      <c r="B50" s="21" t="s">
        <v>318</v>
      </c>
      <c r="C50" s="21" t="s">
        <v>319</v>
      </c>
      <c r="D50" s="21">
        <v>8</v>
      </c>
      <c r="E50" s="21" t="s">
        <v>299</v>
      </c>
      <c r="F50" s="21" t="s">
        <v>300</v>
      </c>
      <c r="G50" s="21" t="s">
        <v>356</v>
      </c>
      <c r="H50" s="40">
        <v>0</v>
      </c>
      <c r="I50" s="40">
        <v>7703.68</v>
      </c>
      <c r="J50" s="40">
        <v>515607.94</v>
      </c>
      <c r="K50" s="21"/>
    </row>
    <row r="51" ht="97.2" hidden="1" spans="1:11">
      <c r="A51" s="21" t="s">
        <v>295</v>
      </c>
      <c r="B51" s="21" t="s">
        <v>318</v>
      </c>
      <c r="C51" s="21" t="s">
        <v>319</v>
      </c>
      <c r="D51" s="21">
        <v>8</v>
      </c>
      <c r="E51" s="21" t="s">
        <v>299</v>
      </c>
      <c r="F51" s="21" t="s">
        <v>300</v>
      </c>
      <c r="G51" s="21" t="s">
        <v>357</v>
      </c>
      <c r="H51" s="40">
        <v>0</v>
      </c>
      <c r="I51" s="40">
        <v>2880</v>
      </c>
      <c r="J51" s="40">
        <v>512727.94</v>
      </c>
      <c r="K51" s="21"/>
    </row>
    <row r="52" ht="32.4" hidden="1" spans="1:11">
      <c r="A52" s="21" t="s">
        <v>295</v>
      </c>
      <c r="B52" s="21" t="s">
        <v>358</v>
      </c>
      <c r="C52" s="21" t="s">
        <v>359</v>
      </c>
      <c r="D52" s="21">
        <v>10</v>
      </c>
      <c r="E52" s="21" t="s">
        <v>299</v>
      </c>
      <c r="F52" s="21" t="s">
        <v>300</v>
      </c>
      <c r="G52" s="21" t="s">
        <v>360</v>
      </c>
      <c r="H52" s="40">
        <v>0</v>
      </c>
      <c r="I52" s="40">
        <v>105</v>
      </c>
      <c r="J52" s="40">
        <v>512622.94</v>
      </c>
      <c r="K52" s="21"/>
    </row>
    <row r="53" ht="21.6" hidden="1" spans="1:11">
      <c r="A53" s="21" t="s">
        <v>295</v>
      </c>
      <c r="B53" s="21"/>
      <c r="C53" s="21"/>
      <c r="D53" s="21"/>
      <c r="E53" s="21"/>
      <c r="F53" s="21"/>
      <c r="G53" s="21" t="s">
        <v>361</v>
      </c>
      <c r="H53" s="40">
        <v>75620.59</v>
      </c>
      <c r="I53" s="40">
        <v>145664.82</v>
      </c>
      <c r="J53" s="40">
        <v>512622.94</v>
      </c>
      <c r="K53" s="21"/>
    </row>
    <row r="54" ht="21.6" hidden="1" spans="1:11">
      <c r="A54" s="21" t="s">
        <v>295</v>
      </c>
      <c r="B54" s="21"/>
      <c r="C54" s="21"/>
      <c r="D54" s="21"/>
      <c r="E54" s="21"/>
      <c r="F54" s="21"/>
      <c r="G54" s="21" t="s">
        <v>362</v>
      </c>
      <c r="H54" s="40">
        <v>75620.59</v>
      </c>
      <c r="I54" s="40">
        <v>145664.82</v>
      </c>
      <c r="J54" s="40">
        <v>512622.94</v>
      </c>
      <c r="K54" s="21"/>
    </row>
    <row r="55" ht="21.6" hidden="1" spans="1:11">
      <c r="A55" s="21" t="s">
        <v>363</v>
      </c>
      <c r="B55" s="21"/>
      <c r="C55" s="21"/>
      <c r="D55" s="21"/>
      <c r="E55" s="21"/>
      <c r="F55" s="21"/>
      <c r="G55" s="21" t="s">
        <v>296</v>
      </c>
      <c r="H55" s="21"/>
      <c r="I55" s="21"/>
      <c r="J55" s="40">
        <v>512622.94</v>
      </c>
      <c r="K55" s="21"/>
    </row>
    <row r="56" ht="64.8" hidden="1" spans="1:11">
      <c r="A56" s="21" t="s">
        <v>363</v>
      </c>
      <c r="B56" s="21" t="s">
        <v>364</v>
      </c>
      <c r="C56" s="21" t="s">
        <v>298</v>
      </c>
      <c r="D56" s="21">
        <v>3</v>
      </c>
      <c r="E56" s="21" t="s">
        <v>299</v>
      </c>
      <c r="F56" s="21" t="s">
        <v>300</v>
      </c>
      <c r="G56" s="21" t="s">
        <v>365</v>
      </c>
      <c r="H56" s="40">
        <v>70754.72</v>
      </c>
      <c r="I56" s="40">
        <v>0</v>
      </c>
      <c r="J56" s="40">
        <v>583377.66</v>
      </c>
      <c r="K56" s="21"/>
    </row>
    <row r="57" ht="64.8" hidden="1" spans="1:11">
      <c r="A57" s="21" t="s">
        <v>363</v>
      </c>
      <c r="B57" s="21" t="s">
        <v>364</v>
      </c>
      <c r="C57" s="21" t="s">
        <v>298</v>
      </c>
      <c r="D57" s="21">
        <v>8</v>
      </c>
      <c r="E57" s="21" t="s">
        <v>299</v>
      </c>
      <c r="F57" s="21" t="s">
        <v>300</v>
      </c>
      <c r="G57" s="21" t="s">
        <v>366</v>
      </c>
      <c r="H57" s="40">
        <v>84138.76</v>
      </c>
      <c r="I57" s="40">
        <v>0</v>
      </c>
      <c r="J57" s="40">
        <v>667516.42</v>
      </c>
      <c r="K57" s="21"/>
    </row>
    <row r="58" ht="64.8" hidden="1" spans="1:11">
      <c r="A58" s="21" t="s">
        <v>363</v>
      </c>
      <c r="B58" s="21" t="s">
        <v>364</v>
      </c>
      <c r="C58" s="21" t="s">
        <v>298</v>
      </c>
      <c r="D58" s="21">
        <v>9</v>
      </c>
      <c r="E58" s="21" t="s">
        <v>299</v>
      </c>
      <c r="F58" s="21" t="s">
        <v>300</v>
      </c>
      <c r="G58" s="21" t="s">
        <v>367</v>
      </c>
      <c r="H58" s="40">
        <v>1170.39</v>
      </c>
      <c r="I58" s="40">
        <v>0</v>
      </c>
      <c r="J58" s="40">
        <v>668686.81</v>
      </c>
      <c r="K58" s="21"/>
    </row>
    <row r="59" ht="64.8" hidden="1" spans="1:11">
      <c r="A59" s="21" t="s">
        <v>363</v>
      </c>
      <c r="B59" s="21" t="s">
        <v>364</v>
      </c>
      <c r="C59" s="21" t="s">
        <v>298</v>
      </c>
      <c r="D59" s="21">
        <v>9</v>
      </c>
      <c r="E59" s="21" t="s">
        <v>299</v>
      </c>
      <c r="F59" s="21" t="s">
        <v>300</v>
      </c>
      <c r="G59" s="21" t="s">
        <v>368</v>
      </c>
      <c r="H59" s="40">
        <v>1969.31</v>
      </c>
      <c r="I59" s="40">
        <v>0</v>
      </c>
      <c r="J59" s="40">
        <v>670656.12</v>
      </c>
      <c r="K59" s="21"/>
    </row>
    <row r="60" ht="64.8" hidden="1" spans="1:11">
      <c r="A60" s="21" t="s">
        <v>363</v>
      </c>
      <c r="B60" s="21" t="s">
        <v>364</v>
      </c>
      <c r="C60" s="21" t="s">
        <v>298</v>
      </c>
      <c r="D60" s="21">
        <v>9</v>
      </c>
      <c r="E60" s="21" t="s">
        <v>299</v>
      </c>
      <c r="F60" s="21" t="s">
        <v>300</v>
      </c>
      <c r="G60" s="21" t="s">
        <v>369</v>
      </c>
      <c r="H60" s="40">
        <v>1707.44</v>
      </c>
      <c r="I60" s="40">
        <v>0</v>
      </c>
      <c r="J60" s="40">
        <v>672363.56</v>
      </c>
      <c r="K60" s="21"/>
    </row>
    <row r="61" ht="64.8" hidden="1" spans="1:11">
      <c r="A61" s="21" t="s">
        <v>363</v>
      </c>
      <c r="B61" s="21" t="s">
        <v>370</v>
      </c>
      <c r="C61" s="21" t="s">
        <v>298</v>
      </c>
      <c r="D61" s="21">
        <v>16</v>
      </c>
      <c r="E61" s="21" t="s">
        <v>299</v>
      </c>
      <c r="F61" s="21" t="s">
        <v>300</v>
      </c>
      <c r="G61" s="21" t="s">
        <v>371</v>
      </c>
      <c r="H61" s="40">
        <v>16586.18</v>
      </c>
      <c r="I61" s="40">
        <v>0</v>
      </c>
      <c r="J61" s="40">
        <v>688949.74</v>
      </c>
      <c r="K61" s="21"/>
    </row>
    <row r="62" ht="64.8" hidden="1" spans="1:11">
      <c r="A62" s="21" t="s">
        <v>363</v>
      </c>
      <c r="B62" s="21" t="s">
        <v>372</v>
      </c>
      <c r="C62" s="21" t="s">
        <v>314</v>
      </c>
      <c r="D62" s="21">
        <v>11</v>
      </c>
      <c r="E62" s="21" t="s">
        <v>299</v>
      </c>
      <c r="F62" s="21" t="s">
        <v>300</v>
      </c>
      <c r="G62" s="21" t="s">
        <v>373</v>
      </c>
      <c r="H62" s="40">
        <v>471.7</v>
      </c>
      <c r="I62" s="40">
        <v>0</v>
      </c>
      <c r="J62" s="40">
        <v>689421.44</v>
      </c>
      <c r="K62" s="21"/>
    </row>
    <row r="63" ht="97.2" hidden="1" spans="1:11">
      <c r="A63" s="21" t="s">
        <v>363</v>
      </c>
      <c r="B63" s="21" t="s">
        <v>372</v>
      </c>
      <c r="C63" s="21" t="s">
        <v>319</v>
      </c>
      <c r="D63" s="21">
        <v>10</v>
      </c>
      <c r="E63" s="21" t="s">
        <v>299</v>
      </c>
      <c r="F63" s="21" t="s">
        <v>300</v>
      </c>
      <c r="G63" s="21" t="s">
        <v>374</v>
      </c>
      <c r="H63" s="40">
        <v>23580</v>
      </c>
      <c r="I63" s="40">
        <v>0</v>
      </c>
      <c r="J63" s="40">
        <v>713001.44</v>
      </c>
      <c r="K63" s="21"/>
    </row>
    <row r="64" ht="97.2" hidden="1" spans="1:11">
      <c r="A64" s="21" t="s">
        <v>363</v>
      </c>
      <c r="B64" s="21" t="s">
        <v>372</v>
      </c>
      <c r="C64" s="21" t="s">
        <v>319</v>
      </c>
      <c r="D64" s="21">
        <v>11</v>
      </c>
      <c r="E64" s="21" t="s">
        <v>299</v>
      </c>
      <c r="F64" s="21" t="s">
        <v>300</v>
      </c>
      <c r="G64" s="21" t="s">
        <v>375</v>
      </c>
      <c r="H64" s="40">
        <v>0</v>
      </c>
      <c r="I64" s="40">
        <v>500</v>
      </c>
      <c r="J64" s="40">
        <v>712501.44</v>
      </c>
      <c r="K64" s="21"/>
    </row>
    <row r="65" ht="97.2" hidden="1" spans="1:11">
      <c r="A65" s="21" t="s">
        <v>363</v>
      </c>
      <c r="B65" s="21" t="s">
        <v>372</v>
      </c>
      <c r="C65" s="21" t="s">
        <v>319</v>
      </c>
      <c r="D65" s="21">
        <v>11</v>
      </c>
      <c r="E65" s="21" t="s">
        <v>299</v>
      </c>
      <c r="F65" s="21" t="s">
        <v>300</v>
      </c>
      <c r="G65" s="21" t="s">
        <v>376</v>
      </c>
      <c r="H65" s="40">
        <v>0</v>
      </c>
      <c r="I65" s="40">
        <v>1257.12</v>
      </c>
      <c r="J65" s="40">
        <v>711244.32</v>
      </c>
      <c r="K65" s="21"/>
    </row>
    <row r="66" ht="97.2" hidden="1" spans="1:11">
      <c r="A66" s="21" t="s">
        <v>363</v>
      </c>
      <c r="B66" s="21" t="s">
        <v>372</v>
      </c>
      <c r="C66" s="21" t="s">
        <v>319</v>
      </c>
      <c r="D66" s="21">
        <v>11</v>
      </c>
      <c r="E66" s="21" t="s">
        <v>299</v>
      </c>
      <c r="F66" s="21" t="s">
        <v>300</v>
      </c>
      <c r="G66" s="21" t="s">
        <v>377</v>
      </c>
      <c r="H66" s="40">
        <v>0</v>
      </c>
      <c r="I66" s="40">
        <v>280</v>
      </c>
      <c r="J66" s="40">
        <v>710964.32</v>
      </c>
      <c r="K66" s="21"/>
    </row>
    <row r="67" ht="97.2" hidden="1" spans="1:11">
      <c r="A67" s="21" t="s">
        <v>363</v>
      </c>
      <c r="B67" s="21" t="s">
        <v>372</v>
      </c>
      <c r="C67" s="21" t="s">
        <v>319</v>
      </c>
      <c r="D67" s="21">
        <v>11</v>
      </c>
      <c r="E67" s="21" t="s">
        <v>299</v>
      </c>
      <c r="F67" s="21" t="s">
        <v>300</v>
      </c>
      <c r="G67" s="21" t="s">
        <v>378</v>
      </c>
      <c r="H67" s="40">
        <v>0</v>
      </c>
      <c r="I67" s="40">
        <v>804.7</v>
      </c>
      <c r="J67" s="40">
        <v>710159.62</v>
      </c>
      <c r="K67" s="21"/>
    </row>
    <row r="68" ht="97.2" hidden="1" spans="1:11">
      <c r="A68" s="21" t="s">
        <v>363</v>
      </c>
      <c r="B68" s="21" t="s">
        <v>372</v>
      </c>
      <c r="C68" s="21" t="s">
        <v>319</v>
      </c>
      <c r="D68" s="21">
        <v>11</v>
      </c>
      <c r="E68" s="21" t="s">
        <v>299</v>
      </c>
      <c r="F68" s="21" t="s">
        <v>300</v>
      </c>
      <c r="G68" s="21" t="s">
        <v>379</v>
      </c>
      <c r="H68" s="40">
        <v>0</v>
      </c>
      <c r="I68" s="40">
        <v>900</v>
      </c>
      <c r="J68" s="40">
        <v>709259.62</v>
      </c>
      <c r="K68" s="21"/>
    </row>
    <row r="69" ht="97.2" hidden="1" spans="1:11">
      <c r="A69" s="21" t="s">
        <v>363</v>
      </c>
      <c r="B69" s="21" t="s">
        <v>372</v>
      </c>
      <c r="C69" s="21" t="s">
        <v>319</v>
      </c>
      <c r="D69" s="21">
        <v>11</v>
      </c>
      <c r="E69" s="21" t="s">
        <v>299</v>
      </c>
      <c r="F69" s="21" t="s">
        <v>300</v>
      </c>
      <c r="G69" s="21" t="s">
        <v>380</v>
      </c>
      <c r="H69" s="40">
        <v>0</v>
      </c>
      <c r="I69" s="40">
        <v>654.04</v>
      </c>
      <c r="J69" s="40">
        <v>708605.58</v>
      </c>
      <c r="K69" s="21"/>
    </row>
    <row r="70" ht="97.2" hidden="1" spans="1:11">
      <c r="A70" s="21" t="s">
        <v>363</v>
      </c>
      <c r="B70" s="21" t="s">
        <v>372</v>
      </c>
      <c r="C70" s="21" t="s">
        <v>319</v>
      </c>
      <c r="D70" s="21">
        <v>11</v>
      </c>
      <c r="E70" s="21" t="s">
        <v>299</v>
      </c>
      <c r="F70" s="21" t="s">
        <v>300</v>
      </c>
      <c r="G70" s="21" t="s">
        <v>381</v>
      </c>
      <c r="H70" s="40">
        <v>0</v>
      </c>
      <c r="I70" s="40">
        <v>4000</v>
      </c>
      <c r="J70" s="40">
        <v>704605.58</v>
      </c>
      <c r="K70" s="21"/>
    </row>
    <row r="71" ht="97.2" hidden="1" spans="1:11">
      <c r="A71" s="21" t="s">
        <v>363</v>
      </c>
      <c r="B71" s="21" t="s">
        <v>372</v>
      </c>
      <c r="C71" s="21" t="s">
        <v>319</v>
      </c>
      <c r="D71" s="21">
        <v>11</v>
      </c>
      <c r="E71" s="21" t="s">
        <v>299</v>
      </c>
      <c r="F71" s="21" t="s">
        <v>300</v>
      </c>
      <c r="G71" s="21" t="s">
        <v>382</v>
      </c>
      <c r="H71" s="40">
        <v>0</v>
      </c>
      <c r="I71" s="40">
        <v>7648.98</v>
      </c>
      <c r="J71" s="40">
        <v>696956.6</v>
      </c>
      <c r="K71" s="21"/>
    </row>
    <row r="72" ht="97.2" hidden="1" spans="1:11">
      <c r="A72" s="21" t="s">
        <v>363</v>
      </c>
      <c r="B72" s="21" t="s">
        <v>372</v>
      </c>
      <c r="C72" s="21" t="s">
        <v>319</v>
      </c>
      <c r="D72" s="21">
        <v>11</v>
      </c>
      <c r="E72" s="21" t="s">
        <v>299</v>
      </c>
      <c r="F72" s="21" t="s">
        <v>300</v>
      </c>
      <c r="G72" s="21" t="s">
        <v>383</v>
      </c>
      <c r="H72" s="40">
        <v>0</v>
      </c>
      <c r="I72" s="40">
        <v>1507.84</v>
      </c>
      <c r="J72" s="40">
        <v>695448.76</v>
      </c>
      <c r="K72" s="21"/>
    </row>
    <row r="73" ht="97.2" hidden="1" spans="1:11">
      <c r="A73" s="21" t="s">
        <v>363</v>
      </c>
      <c r="B73" s="21" t="s">
        <v>372</v>
      </c>
      <c r="C73" s="21" t="s">
        <v>319</v>
      </c>
      <c r="D73" s="21">
        <v>12</v>
      </c>
      <c r="E73" s="21" t="s">
        <v>299</v>
      </c>
      <c r="F73" s="21" t="s">
        <v>300</v>
      </c>
      <c r="G73" s="21" t="s">
        <v>384</v>
      </c>
      <c r="H73" s="40">
        <v>0</v>
      </c>
      <c r="I73" s="40">
        <v>24000</v>
      </c>
      <c r="J73" s="40">
        <v>671448.76</v>
      </c>
      <c r="K73" s="21"/>
    </row>
    <row r="74" ht="97.2" hidden="1" spans="1:11">
      <c r="A74" s="21" t="s">
        <v>363</v>
      </c>
      <c r="B74" s="21" t="s">
        <v>372</v>
      </c>
      <c r="C74" s="21" t="s">
        <v>319</v>
      </c>
      <c r="D74" s="21">
        <v>12</v>
      </c>
      <c r="E74" s="21" t="s">
        <v>299</v>
      </c>
      <c r="F74" s="21" t="s">
        <v>300</v>
      </c>
      <c r="G74" s="21" t="s">
        <v>385</v>
      </c>
      <c r="H74" s="40">
        <v>0</v>
      </c>
      <c r="I74" s="40">
        <v>4800</v>
      </c>
      <c r="J74" s="40">
        <v>666648.76</v>
      </c>
      <c r="K74" s="21"/>
    </row>
    <row r="75" ht="97.2" hidden="1" spans="1:11">
      <c r="A75" s="21" t="s">
        <v>363</v>
      </c>
      <c r="B75" s="21" t="s">
        <v>372</v>
      </c>
      <c r="C75" s="21" t="s">
        <v>319</v>
      </c>
      <c r="D75" s="21">
        <v>12</v>
      </c>
      <c r="E75" s="21" t="s">
        <v>299</v>
      </c>
      <c r="F75" s="21" t="s">
        <v>300</v>
      </c>
      <c r="G75" s="21" t="s">
        <v>386</v>
      </c>
      <c r="H75" s="40">
        <v>0</v>
      </c>
      <c r="I75" s="40">
        <v>1710</v>
      </c>
      <c r="J75" s="40">
        <v>664938.76</v>
      </c>
      <c r="K75" s="21"/>
    </row>
    <row r="76" ht="97.2" hidden="1" spans="1:11">
      <c r="A76" s="21" t="s">
        <v>363</v>
      </c>
      <c r="B76" s="21" t="s">
        <v>372</v>
      </c>
      <c r="C76" s="21" t="s">
        <v>319</v>
      </c>
      <c r="D76" s="21">
        <v>12</v>
      </c>
      <c r="E76" s="21" t="s">
        <v>299</v>
      </c>
      <c r="F76" s="21" t="s">
        <v>300</v>
      </c>
      <c r="G76" s="21" t="s">
        <v>387</v>
      </c>
      <c r="H76" s="40">
        <v>0</v>
      </c>
      <c r="I76" s="40">
        <v>3418.75</v>
      </c>
      <c r="J76" s="40">
        <v>661520.01</v>
      </c>
      <c r="K76" s="21"/>
    </row>
    <row r="77" ht="97.2" hidden="1" spans="1:11">
      <c r="A77" s="21" t="s">
        <v>363</v>
      </c>
      <c r="B77" s="21" t="s">
        <v>372</v>
      </c>
      <c r="C77" s="21" t="s">
        <v>319</v>
      </c>
      <c r="D77" s="21">
        <v>12</v>
      </c>
      <c r="E77" s="21" t="s">
        <v>299</v>
      </c>
      <c r="F77" s="21" t="s">
        <v>300</v>
      </c>
      <c r="G77" s="21" t="s">
        <v>388</v>
      </c>
      <c r="H77" s="40">
        <v>0</v>
      </c>
      <c r="I77" s="40">
        <v>433.33</v>
      </c>
      <c r="J77" s="40">
        <v>661086.68</v>
      </c>
      <c r="K77" s="21"/>
    </row>
    <row r="78" ht="97.2" hidden="1" spans="1:11">
      <c r="A78" s="21" t="s">
        <v>363</v>
      </c>
      <c r="B78" s="21" t="s">
        <v>372</v>
      </c>
      <c r="C78" s="21" t="s">
        <v>319</v>
      </c>
      <c r="D78" s="21">
        <v>12</v>
      </c>
      <c r="E78" s="21" t="s">
        <v>299</v>
      </c>
      <c r="F78" s="21" t="s">
        <v>300</v>
      </c>
      <c r="G78" s="21" t="s">
        <v>389</v>
      </c>
      <c r="H78" s="40">
        <v>0</v>
      </c>
      <c r="I78" s="40">
        <v>187.65</v>
      </c>
      <c r="J78" s="40">
        <v>660899.03</v>
      </c>
      <c r="K78" s="21"/>
    </row>
    <row r="79" ht="97.2" hidden="1" spans="1:11">
      <c r="A79" s="21" t="s">
        <v>363</v>
      </c>
      <c r="B79" s="21" t="s">
        <v>372</v>
      </c>
      <c r="C79" s="21" t="s">
        <v>319</v>
      </c>
      <c r="D79" s="21">
        <v>12</v>
      </c>
      <c r="E79" s="21" t="s">
        <v>299</v>
      </c>
      <c r="F79" s="21" t="s">
        <v>300</v>
      </c>
      <c r="G79" s="21" t="s">
        <v>390</v>
      </c>
      <c r="H79" s="40">
        <v>0</v>
      </c>
      <c r="I79" s="40">
        <v>4017.75</v>
      </c>
      <c r="J79" s="40">
        <v>656881.28</v>
      </c>
      <c r="K79" s="21"/>
    </row>
    <row r="80" ht="97.2" hidden="1" spans="1:11">
      <c r="A80" s="21" t="s">
        <v>363</v>
      </c>
      <c r="B80" s="21" t="s">
        <v>372</v>
      </c>
      <c r="C80" s="21" t="s">
        <v>319</v>
      </c>
      <c r="D80" s="21">
        <v>12</v>
      </c>
      <c r="E80" s="21" t="s">
        <v>299</v>
      </c>
      <c r="F80" s="21" t="s">
        <v>300</v>
      </c>
      <c r="G80" s="21" t="s">
        <v>391</v>
      </c>
      <c r="H80" s="40">
        <v>0</v>
      </c>
      <c r="I80" s="40">
        <v>1856.84</v>
      </c>
      <c r="J80" s="40">
        <v>655024.44</v>
      </c>
      <c r="K80" s="21"/>
    </row>
    <row r="81" ht="97.2" hidden="1" spans="1:11">
      <c r="A81" s="21" t="s">
        <v>363</v>
      </c>
      <c r="B81" s="21" t="s">
        <v>372</v>
      </c>
      <c r="C81" s="21" t="s">
        <v>319</v>
      </c>
      <c r="D81" s="21">
        <v>12</v>
      </c>
      <c r="E81" s="21" t="s">
        <v>299</v>
      </c>
      <c r="F81" s="21" t="s">
        <v>300</v>
      </c>
      <c r="G81" s="21" t="s">
        <v>392</v>
      </c>
      <c r="H81" s="40">
        <v>0</v>
      </c>
      <c r="I81" s="40">
        <v>250</v>
      </c>
      <c r="J81" s="40">
        <v>654774.44</v>
      </c>
      <c r="K81" s="21"/>
    </row>
    <row r="82" ht="97.2" hidden="1" spans="1:11">
      <c r="A82" s="21" t="s">
        <v>363</v>
      </c>
      <c r="B82" s="21" t="s">
        <v>372</v>
      </c>
      <c r="C82" s="21" t="s">
        <v>319</v>
      </c>
      <c r="D82" s="21">
        <v>12</v>
      </c>
      <c r="E82" s="21" t="s">
        <v>299</v>
      </c>
      <c r="F82" s="21" t="s">
        <v>300</v>
      </c>
      <c r="G82" s="21" t="s">
        <v>393</v>
      </c>
      <c r="H82" s="40">
        <v>0</v>
      </c>
      <c r="I82" s="40">
        <v>225</v>
      </c>
      <c r="J82" s="40">
        <v>654549.44</v>
      </c>
      <c r="K82" s="21"/>
    </row>
    <row r="83" ht="97.2" hidden="1" spans="1:11">
      <c r="A83" s="21" t="s">
        <v>363</v>
      </c>
      <c r="B83" s="21" t="s">
        <v>372</v>
      </c>
      <c r="C83" s="21" t="s">
        <v>319</v>
      </c>
      <c r="D83" s="21">
        <v>12</v>
      </c>
      <c r="E83" s="21" t="s">
        <v>299</v>
      </c>
      <c r="F83" s="21" t="s">
        <v>300</v>
      </c>
      <c r="G83" s="21" t="s">
        <v>394</v>
      </c>
      <c r="H83" s="40">
        <v>0</v>
      </c>
      <c r="I83" s="40">
        <v>1665.59</v>
      </c>
      <c r="J83" s="40">
        <v>652883.85</v>
      </c>
      <c r="K83" s="21"/>
    </row>
    <row r="84" ht="97.2" hidden="1" spans="1:11">
      <c r="A84" s="21" t="s">
        <v>363</v>
      </c>
      <c r="B84" s="21" t="s">
        <v>372</v>
      </c>
      <c r="C84" s="21" t="s">
        <v>319</v>
      </c>
      <c r="D84" s="21">
        <v>12</v>
      </c>
      <c r="E84" s="21" t="s">
        <v>299</v>
      </c>
      <c r="F84" s="21" t="s">
        <v>300</v>
      </c>
      <c r="G84" s="21" t="s">
        <v>395</v>
      </c>
      <c r="H84" s="40">
        <v>0</v>
      </c>
      <c r="I84" s="40">
        <v>22984</v>
      </c>
      <c r="J84" s="40">
        <v>629899.85</v>
      </c>
      <c r="K84" s="21"/>
    </row>
    <row r="85" ht="97.2" hidden="1" spans="1:11">
      <c r="A85" s="21" t="s">
        <v>363</v>
      </c>
      <c r="B85" s="21" t="s">
        <v>372</v>
      </c>
      <c r="C85" s="21" t="s">
        <v>319</v>
      </c>
      <c r="D85" s="21">
        <v>12</v>
      </c>
      <c r="E85" s="21" t="s">
        <v>299</v>
      </c>
      <c r="F85" s="21" t="s">
        <v>300</v>
      </c>
      <c r="G85" s="21" t="s">
        <v>396</v>
      </c>
      <c r="H85" s="40">
        <v>0</v>
      </c>
      <c r="I85" s="40">
        <v>4455.85</v>
      </c>
      <c r="J85" s="40">
        <v>625444</v>
      </c>
      <c r="K85" s="21"/>
    </row>
    <row r="86" ht="97.2" hidden="1" spans="1:11">
      <c r="A86" s="21" t="s">
        <v>363</v>
      </c>
      <c r="B86" s="21" t="s">
        <v>372</v>
      </c>
      <c r="C86" s="21" t="s">
        <v>319</v>
      </c>
      <c r="D86" s="21">
        <v>12</v>
      </c>
      <c r="E86" s="21" t="s">
        <v>299</v>
      </c>
      <c r="F86" s="21" t="s">
        <v>300</v>
      </c>
      <c r="G86" s="21" t="s">
        <v>397</v>
      </c>
      <c r="H86" s="40">
        <v>0</v>
      </c>
      <c r="I86" s="40">
        <v>960.18</v>
      </c>
      <c r="J86" s="40">
        <v>624483.82</v>
      </c>
      <c r="K86" s="21"/>
    </row>
    <row r="87" ht="97.2" hidden="1" spans="1:11">
      <c r="A87" s="21" t="s">
        <v>363</v>
      </c>
      <c r="B87" s="21" t="s">
        <v>372</v>
      </c>
      <c r="C87" s="21" t="s">
        <v>319</v>
      </c>
      <c r="D87" s="21">
        <v>12</v>
      </c>
      <c r="E87" s="21" t="s">
        <v>299</v>
      </c>
      <c r="F87" s="21" t="s">
        <v>300</v>
      </c>
      <c r="G87" s="21" t="s">
        <v>398</v>
      </c>
      <c r="H87" s="40">
        <v>0</v>
      </c>
      <c r="I87" s="40">
        <v>2908.81</v>
      </c>
      <c r="J87" s="40">
        <v>621575.01</v>
      </c>
      <c r="K87" s="21"/>
    </row>
    <row r="88" ht="97.2" hidden="1" spans="1:11">
      <c r="A88" s="21" t="s">
        <v>363</v>
      </c>
      <c r="B88" s="21" t="s">
        <v>372</v>
      </c>
      <c r="C88" s="21" t="s">
        <v>319</v>
      </c>
      <c r="D88" s="21">
        <v>12</v>
      </c>
      <c r="E88" s="21" t="s">
        <v>299</v>
      </c>
      <c r="F88" s="21" t="s">
        <v>300</v>
      </c>
      <c r="G88" s="21" t="s">
        <v>399</v>
      </c>
      <c r="H88" s="40">
        <v>0</v>
      </c>
      <c r="I88" s="40">
        <v>609.33</v>
      </c>
      <c r="J88" s="40">
        <v>620965.68</v>
      </c>
      <c r="K88" s="21"/>
    </row>
    <row r="89" ht="97.2" hidden="1" spans="1:11">
      <c r="A89" s="21" t="s">
        <v>363</v>
      </c>
      <c r="B89" s="21" t="s">
        <v>372</v>
      </c>
      <c r="C89" s="21" t="s">
        <v>319</v>
      </c>
      <c r="D89" s="21">
        <v>12</v>
      </c>
      <c r="E89" s="21" t="s">
        <v>299</v>
      </c>
      <c r="F89" s="21" t="s">
        <v>300</v>
      </c>
      <c r="G89" s="21" t="s">
        <v>400</v>
      </c>
      <c r="H89" s="40">
        <v>0</v>
      </c>
      <c r="I89" s="40">
        <v>1433.33</v>
      </c>
      <c r="J89" s="40">
        <v>619532.35</v>
      </c>
      <c r="K89" s="21"/>
    </row>
    <row r="90" ht="97.2" hidden="1" spans="1:11">
      <c r="A90" s="21" t="s">
        <v>363</v>
      </c>
      <c r="B90" s="21" t="s">
        <v>372</v>
      </c>
      <c r="C90" s="21" t="s">
        <v>319</v>
      </c>
      <c r="D90" s="21">
        <v>12</v>
      </c>
      <c r="E90" s="21" t="s">
        <v>299</v>
      </c>
      <c r="F90" s="21" t="s">
        <v>300</v>
      </c>
      <c r="G90" s="21" t="s">
        <v>401</v>
      </c>
      <c r="H90" s="40">
        <v>0</v>
      </c>
      <c r="I90" s="40">
        <v>2358.49</v>
      </c>
      <c r="J90" s="40">
        <v>617173.86</v>
      </c>
      <c r="K90" s="21"/>
    </row>
    <row r="91" ht="97.2" hidden="1" spans="1:11">
      <c r="A91" s="21" t="s">
        <v>363</v>
      </c>
      <c r="B91" s="21" t="s">
        <v>372</v>
      </c>
      <c r="C91" s="21" t="s">
        <v>319</v>
      </c>
      <c r="D91" s="21">
        <v>12</v>
      </c>
      <c r="E91" s="21" t="s">
        <v>299</v>
      </c>
      <c r="F91" s="21" t="s">
        <v>300</v>
      </c>
      <c r="G91" s="21" t="s">
        <v>402</v>
      </c>
      <c r="H91" s="40">
        <v>0</v>
      </c>
      <c r="I91" s="40">
        <v>289.08</v>
      </c>
      <c r="J91" s="40">
        <v>616884.78</v>
      </c>
      <c r="K91" s="21"/>
    </row>
    <row r="92" ht="97.2" hidden="1" spans="1:11">
      <c r="A92" s="21" t="s">
        <v>363</v>
      </c>
      <c r="B92" s="21" t="s">
        <v>372</v>
      </c>
      <c r="C92" s="21" t="s">
        <v>319</v>
      </c>
      <c r="D92" s="21">
        <v>12</v>
      </c>
      <c r="E92" s="21" t="s">
        <v>299</v>
      </c>
      <c r="F92" s="21" t="s">
        <v>300</v>
      </c>
      <c r="G92" s="21" t="s">
        <v>403</v>
      </c>
      <c r="H92" s="40">
        <v>0</v>
      </c>
      <c r="I92" s="40">
        <v>3728.16</v>
      </c>
      <c r="J92" s="40">
        <v>613156.62</v>
      </c>
      <c r="K92" s="21"/>
    </row>
    <row r="93" ht="97.2" hidden="1" spans="1:11">
      <c r="A93" s="21" t="s">
        <v>363</v>
      </c>
      <c r="B93" s="21" t="s">
        <v>372</v>
      </c>
      <c r="C93" s="21" t="s">
        <v>319</v>
      </c>
      <c r="D93" s="21">
        <v>12</v>
      </c>
      <c r="E93" s="21" t="s">
        <v>299</v>
      </c>
      <c r="F93" s="21" t="s">
        <v>300</v>
      </c>
      <c r="G93" s="21" t="s">
        <v>404</v>
      </c>
      <c r="H93" s="40">
        <v>0</v>
      </c>
      <c r="I93" s="40">
        <v>6261.39</v>
      </c>
      <c r="J93" s="40">
        <v>606895.23</v>
      </c>
      <c r="K93" s="21"/>
    </row>
    <row r="94" ht="97.2" hidden="1" spans="1:11">
      <c r="A94" s="21" t="s">
        <v>363</v>
      </c>
      <c r="B94" s="21" t="s">
        <v>372</v>
      </c>
      <c r="C94" s="21" t="s">
        <v>319</v>
      </c>
      <c r="D94" s="21">
        <v>12</v>
      </c>
      <c r="E94" s="21" t="s">
        <v>299</v>
      </c>
      <c r="F94" s="21" t="s">
        <v>300</v>
      </c>
      <c r="G94" s="21" t="s">
        <v>405</v>
      </c>
      <c r="H94" s="40">
        <v>0</v>
      </c>
      <c r="I94" s="40">
        <v>800</v>
      </c>
      <c r="J94" s="40">
        <v>606095.23</v>
      </c>
      <c r="K94" s="21"/>
    </row>
    <row r="95" ht="97.2" hidden="1" spans="1:11">
      <c r="A95" s="21" t="s">
        <v>363</v>
      </c>
      <c r="B95" s="21" t="s">
        <v>372</v>
      </c>
      <c r="C95" s="21" t="s">
        <v>319</v>
      </c>
      <c r="D95" s="21">
        <v>12</v>
      </c>
      <c r="E95" s="21" t="s">
        <v>299</v>
      </c>
      <c r="F95" s="21" t="s">
        <v>300</v>
      </c>
      <c r="G95" s="21" t="s">
        <v>406</v>
      </c>
      <c r="H95" s="40">
        <v>0</v>
      </c>
      <c r="I95" s="40">
        <v>5396.22</v>
      </c>
      <c r="J95" s="40">
        <v>600699.01</v>
      </c>
      <c r="K95" s="21"/>
    </row>
    <row r="96" ht="97.2" hidden="1" spans="1:11">
      <c r="A96" s="21" t="s">
        <v>363</v>
      </c>
      <c r="B96" s="21" t="s">
        <v>372</v>
      </c>
      <c r="C96" s="21" t="s">
        <v>319</v>
      </c>
      <c r="D96" s="21">
        <v>12</v>
      </c>
      <c r="E96" s="21" t="s">
        <v>299</v>
      </c>
      <c r="F96" s="21" t="s">
        <v>300</v>
      </c>
      <c r="G96" s="21" t="s">
        <v>407</v>
      </c>
      <c r="H96" s="40">
        <v>0</v>
      </c>
      <c r="I96" s="40">
        <v>664.84</v>
      </c>
      <c r="J96" s="40">
        <v>600034.17</v>
      </c>
      <c r="K96" s="21"/>
    </row>
    <row r="97" ht="97.2" hidden="1" spans="1:11">
      <c r="A97" s="21" t="s">
        <v>363</v>
      </c>
      <c r="B97" s="21" t="s">
        <v>372</v>
      </c>
      <c r="C97" s="21" t="s">
        <v>319</v>
      </c>
      <c r="D97" s="21">
        <v>12</v>
      </c>
      <c r="E97" s="21" t="s">
        <v>299</v>
      </c>
      <c r="F97" s="21" t="s">
        <v>300</v>
      </c>
      <c r="G97" s="21" t="s">
        <v>408</v>
      </c>
      <c r="H97" s="40">
        <v>0</v>
      </c>
      <c r="I97" s="40">
        <v>1000</v>
      </c>
      <c r="J97" s="40">
        <v>599034.17</v>
      </c>
      <c r="K97" s="21"/>
    </row>
    <row r="98" ht="97.2" hidden="1" spans="1:11">
      <c r="A98" s="21" t="s">
        <v>363</v>
      </c>
      <c r="B98" s="21" t="s">
        <v>372</v>
      </c>
      <c r="C98" s="21" t="s">
        <v>319</v>
      </c>
      <c r="D98" s="21">
        <v>12</v>
      </c>
      <c r="E98" s="21" t="s">
        <v>299</v>
      </c>
      <c r="F98" s="21" t="s">
        <v>300</v>
      </c>
      <c r="G98" s="21" t="s">
        <v>409</v>
      </c>
      <c r="H98" s="40">
        <v>0</v>
      </c>
      <c r="I98" s="40">
        <v>1779.94</v>
      </c>
      <c r="J98" s="40">
        <v>597254.23</v>
      </c>
      <c r="K98" s="21"/>
    </row>
    <row r="99" ht="97.2" hidden="1" spans="1:11">
      <c r="A99" s="21" t="s">
        <v>363</v>
      </c>
      <c r="B99" s="21" t="s">
        <v>372</v>
      </c>
      <c r="C99" s="21" t="s">
        <v>319</v>
      </c>
      <c r="D99" s="21">
        <v>12</v>
      </c>
      <c r="E99" s="21" t="s">
        <v>299</v>
      </c>
      <c r="F99" s="21" t="s">
        <v>300</v>
      </c>
      <c r="G99" s="21" t="s">
        <v>410</v>
      </c>
      <c r="H99" s="40">
        <v>0</v>
      </c>
      <c r="I99" s="40">
        <v>3245.76</v>
      </c>
      <c r="J99" s="40">
        <v>594008.47</v>
      </c>
      <c r="K99" s="21"/>
    </row>
    <row r="100" ht="97.2" hidden="1" spans="1:11">
      <c r="A100" s="21" t="s">
        <v>363</v>
      </c>
      <c r="B100" s="21" t="s">
        <v>372</v>
      </c>
      <c r="C100" s="21" t="s">
        <v>319</v>
      </c>
      <c r="D100" s="21">
        <v>12</v>
      </c>
      <c r="E100" s="21" t="s">
        <v>299</v>
      </c>
      <c r="F100" s="21" t="s">
        <v>300</v>
      </c>
      <c r="G100" s="21" t="s">
        <v>411</v>
      </c>
      <c r="H100" s="40">
        <v>0</v>
      </c>
      <c r="I100" s="40">
        <v>1100</v>
      </c>
      <c r="J100" s="40">
        <v>592908.47</v>
      </c>
      <c r="K100" s="21"/>
    </row>
    <row r="101" ht="97.2" hidden="1" spans="1:11">
      <c r="A101" s="21" t="s">
        <v>363</v>
      </c>
      <c r="B101" s="21" t="s">
        <v>372</v>
      </c>
      <c r="C101" s="21" t="s">
        <v>319</v>
      </c>
      <c r="D101" s="21">
        <v>12</v>
      </c>
      <c r="E101" s="21" t="s">
        <v>299</v>
      </c>
      <c r="F101" s="21" t="s">
        <v>300</v>
      </c>
      <c r="G101" s="21" t="s">
        <v>412</v>
      </c>
      <c r="H101" s="40">
        <v>0</v>
      </c>
      <c r="I101" s="40">
        <v>7703.68</v>
      </c>
      <c r="J101" s="40">
        <v>585204.79</v>
      </c>
      <c r="K101" s="21"/>
    </row>
    <row r="102" ht="97.2" hidden="1" spans="1:11">
      <c r="A102" s="21" t="s">
        <v>363</v>
      </c>
      <c r="B102" s="21" t="s">
        <v>372</v>
      </c>
      <c r="C102" s="21" t="s">
        <v>319</v>
      </c>
      <c r="D102" s="21">
        <v>12</v>
      </c>
      <c r="E102" s="21" t="s">
        <v>299</v>
      </c>
      <c r="F102" s="21" t="s">
        <v>300</v>
      </c>
      <c r="G102" s="21" t="s">
        <v>413</v>
      </c>
      <c r="H102" s="40">
        <v>105</v>
      </c>
      <c r="I102" s="40">
        <v>0</v>
      </c>
      <c r="J102" s="40">
        <v>585309.79</v>
      </c>
      <c r="K102" s="21"/>
    </row>
    <row r="103" ht="97.2" hidden="1" spans="1:11">
      <c r="A103" s="21" t="s">
        <v>363</v>
      </c>
      <c r="B103" s="21" t="s">
        <v>372</v>
      </c>
      <c r="C103" s="21" t="s">
        <v>319</v>
      </c>
      <c r="D103" s="21">
        <v>12</v>
      </c>
      <c r="E103" s="21" t="s">
        <v>299</v>
      </c>
      <c r="F103" s="21" t="s">
        <v>300</v>
      </c>
      <c r="G103" s="21" t="s">
        <v>414</v>
      </c>
      <c r="H103" s="40">
        <v>0</v>
      </c>
      <c r="I103" s="40">
        <v>6432.25</v>
      </c>
      <c r="J103" s="40">
        <v>578877.54</v>
      </c>
      <c r="K103" s="21"/>
    </row>
    <row r="104" ht="97.2" hidden="1" spans="1:11">
      <c r="A104" s="21" t="s">
        <v>363</v>
      </c>
      <c r="B104" s="21" t="s">
        <v>372</v>
      </c>
      <c r="C104" s="21" t="s">
        <v>319</v>
      </c>
      <c r="D104" s="21">
        <v>12</v>
      </c>
      <c r="E104" s="21" t="s">
        <v>299</v>
      </c>
      <c r="F104" s="21" t="s">
        <v>300</v>
      </c>
      <c r="G104" s="21" t="s">
        <v>415</v>
      </c>
      <c r="H104" s="40">
        <v>0</v>
      </c>
      <c r="I104" s="40">
        <v>807.86</v>
      </c>
      <c r="J104" s="40">
        <v>578069.68</v>
      </c>
      <c r="K104" s="21"/>
    </row>
    <row r="105" ht="97.2" hidden="1" spans="1:11">
      <c r="A105" s="21" t="s">
        <v>363</v>
      </c>
      <c r="B105" s="21" t="s">
        <v>372</v>
      </c>
      <c r="C105" s="21" t="s">
        <v>319</v>
      </c>
      <c r="D105" s="21">
        <v>12</v>
      </c>
      <c r="E105" s="21" t="s">
        <v>299</v>
      </c>
      <c r="F105" s="21" t="s">
        <v>300</v>
      </c>
      <c r="G105" s="21" t="s">
        <v>416</v>
      </c>
      <c r="H105" s="40">
        <v>0</v>
      </c>
      <c r="I105" s="40">
        <v>7860</v>
      </c>
      <c r="J105" s="40">
        <v>570209.68</v>
      </c>
      <c r="K105" s="21"/>
    </row>
    <row r="106" ht="97.2" hidden="1" spans="1:11">
      <c r="A106" s="21" t="s">
        <v>363</v>
      </c>
      <c r="B106" s="21" t="s">
        <v>372</v>
      </c>
      <c r="C106" s="21" t="s">
        <v>319</v>
      </c>
      <c r="D106" s="21">
        <v>12</v>
      </c>
      <c r="E106" s="21" t="s">
        <v>299</v>
      </c>
      <c r="F106" s="21" t="s">
        <v>300</v>
      </c>
      <c r="G106" s="21" t="s">
        <v>417</v>
      </c>
      <c r="H106" s="40">
        <v>2050</v>
      </c>
      <c r="I106" s="40">
        <v>0</v>
      </c>
      <c r="J106" s="40">
        <v>572259.68</v>
      </c>
      <c r="K106" s="21"/>
    </row>
    <row r="107" ht="21.6" hidden="1" spans="1:11">
      <c r="A107" s="21" t="s">
        <v>363</v>
      </c>
      <c r="B107" s="21"/>
      <c r="C107" s="21"/>
      <c r="D107" s="21"/>
      <c r="E107" s="21"/>
      <c r="F107" s="21"/>
      <c r="G107" s="21" t="s">
        <v>361</v>
      </c>
      <c r="H107" s="40">
        <v>202533.5</v>
      </c>
      <c r="I107" s="40">
        <v>142896.76</v>
      </c>
      <c r="J107" s="40">
        <v>572259.68</v>
      </c>
      <c r="K107" s="21"/>
    </row>
    <row r="108" ht="21.6" hidden="1" spans="1:11">
      <c r="A108" s="21" t="s">
        <v>363</v>
      </c>
      <c r="B108" s="21"/>
      <c r="C108" s="21"/>
      <c r="D108" s="21"/>
      <c r="E108" s="21"/>
      <c r="F108" s="21"/>
      <c r="G108" s="21" t="s">
        <v>362</v>
      </c>
      <c r="H108" s="40">
        <v>278154.09</v>
      </c>
      <c r="I108" s="40">
        <v>288561.58</v>
      </c>
      <c r="J108" s="40">
        <v>572259.68</v>
      </c>
      <c r="K108" s="21"/>
    </row>
    <row r="109" ht="21.6" hidden="1" spans="1:11">
      <c r="A109" s="21" t="s">
        <v>418</v>
      </c>
      <c r="B109" s="21"/>
      <c r="C109" s="21"/>
      <c r="D109" s="21"/>
      <c r="E109" s="21"/>
      <c r="F109" s="21"/>
      <c r="G109" s="21" t="s">
        <v>296</v>
      </c>
      <c r="H109" s="21"/>
      <c r="I109" s="21"/>
      <c r="J109" s="40">
        <v>572259.68</v>
      </c>
      <c r="K109" s="21"/>
    </row>
    <row r="110" ht="64.8" hidden="1" spans="1:11">
      <c r="A110" s="21" t="s">
        <v>418</v>
      </c>
      <c r="B110" s="21" t="s">
        <v>419</v>
      </c>
      <c r="C110" s="21" t="s">
        <v>298</v>
      </c>
      <c r="D110" s="21">
        <v>3</v>
      </c>
      <c r="E110" s="21" t="s">
        <v>299</v>
      </c>
      <c r="F110" s="21" t="s">
        <v>300</v>
      </c>
      <c r="G110" s="21" t="s">
        <v>420</v>
      </c>
      <c r="H110" s="40">
        <v>2280</v>
      </c>
      <c r="I110" s="40">
        <v>0</v>
      </c>
      <c r="J110" s="40">
        <v>574539.68</v>
      </c>
      <c r="K110" s="21"/>
    </row>
    <row r="111" ht="64.8" hidden="1" spans="1:11">
      <c r="A111" s="21" t="s">
        <v>418</v>
      </c>
      <c r="B111" s="21" t="s">
        <v>421</v>
      </c>
      <c r="C111" s="21" t="s">
        <v>298</v>
      </c>
      <c r="D111" s="21">
        <v>5</v>
      </c>
      <c r="E111" s="21" t="s">
        <v>299</v>
      </c>
      <c r="F111" s="21" t="s">
        <v>300</v>
      </c>
      <c r="G111" s="21" t="s">
        <v>422</v>
      </c>
      <c r="H111" s="40">
        <v>10969.99</v>
      </c>
      <c r="I111" s="40">
        <v>0</v>
      </c>
      <c r="J111" s="40">
        <v>585509.67</v>
      </c>
      <c r="K111" s="21"/>
    </row>
    <row r="112" ht="64.8" hidden="1" spans="1:11">
      <c r="A112" s="21" t="s">
        <v>418</v>
      </c>
      <c r="B112" s="21" t="s">
        <v>423</v>
      </c>
      <c r="C112" s="21" t="s">
        <v>298</v>
      </c>
      <c r="D112" s="21">
        <v>11</v>
      </c>
      <c r="E112" s="21" t="s">
        <v>299</v>
      </c>
      <c r="F112" s="21" t="s">
        <v>300</v>
      </c>
      <c r="G112" s="21" t="s">
        <v>424</v>
      </c>
      <c r="H112" s="40">
        <v>20000</v>
      </c>
      <c r="I112" s="40">
        <v>0</v>
      </c>
      <c r="J112" s="40">
        <v>605509.67</v>
      </c>
      <c r="K112" s="21"/>
    </row>
    <row r="113" ht="64.8" hidden="1" spans="1:11">
      <c r="A113" s="21" t="s">
        <v>418</v>
      </c>
      <c r="B113" s="21" t="s">
        <v>425</v>
      </c>
      <c r="C113" s="21" t="s">
        <v>298</v>
      </c>
      <c r="D113" s="21">
        <v>13</v>
      </c>
      <c r="E113" s="21" t="s">
        <v>299</v>
      </c>
      <c r="F113" s="21" t="s">
        <v>300</v>
      </c>
      <c r="G113" s="21" t="s">
        <v>426</v>
      </c>
      <c r="H113" s="40">
        <v>20639.4</v>
      </c>
      <c r="I113" s="40">
        <v>0</v>
      </c>
      <c r="J113" s="40">
        <v>626149.07</v>
      </c>
      <c r="K113" s="21"/>
    </row>
    <row r="114" ht="64.8" hidden="1" spans="1:11">
      <c r="A114" s="21" t="s">
        <v>418</v>
      </c>
      <c r="B114" s="21" t="s">
        <v>427</v>
      </c>
      <c r="C114" s="21" t="s">
        <v>298</v>
      </c>
      <c r="D114" s="21">
        <v>14</v>
      </c>
      <c r="E114" s="21" t="s">
        <v>299</v>
      </c>
      <c r="F114" s="21" t="s">
        <v>300</v>
      </c>
      <c r="G114" s="21" t="s">
        <v>428</v>
      </c>
      <c r="H114" s="40">
        <v>3076</v>
      </c>
      <c r="I114" s="40">
        <v>0</v>
      </c>
      <c r="J114" s="40">
        <v>629225.07</v>
      </c>
      <c r="K114" s="21"/>
    </row>
    <row r="115" ht="64.8" hidden="1" spans="1:11">
      <c r="A115" s="21" t="s">
        <v>418</v>
      </c>
      <c r="B115" s="21" t="s">
        <v>427</v>
      </c>
      <c r="C115" s="21" t="s">
        <v>298</v>
      </c>
      <c r="D115" s="21">
        <v>14</v>
      </c>
      <c r="E115" s="21" t="s">
        <v>299</v>
      </c>
      <c r="F115" s="21" t="s">
        <v>300</v>
      </c>
      <c r="G115" s="21" t="s">
        <v>429</v>
      </c>
      <c r="H115" s="40">
        <v>7050</v>
      </c>
      <c r="I115" s="40">
        <v>0</v>
      </c>
      <c r="J115" s="40">
        <v>636275.07</v>
      </c>
      <c r="K115" s="21"/>
    </row>
    <row r="116" ht="64.8" hidden="1" spans="1:11">
      <c r="A116" s="21" t="s">
        <v>418</v>
      </c>
      <c r="B116" s="21" t="s">
        <v>427</v>
      </c>
      <c r="C116" s="21" t="s">
        <v>298</v>
      </c>
      <c r="D116" s="21">
        <v>14</v>
      </c>
      <c r="E116" s="21" t="s">
        <v>299</v>
      </c>
      <c r="F116" s="21" t="s">
        <v>300</v>
      </c>
      <c r="G116" s="21" t="s">
        <v>430</v>
      </c>
      <c r="H116" s="40">
        <v>23683.05</v>
      </c>
      <c r="I116" s="40">
        <v>0</v>
      </c>
      <c r="J116" s="40">
        <v>659958.12</v>
      </c>
      <c r="K116" s="21"/>
    </row>
    <row r="117" ht="64.8" hidden="1" spans="1:11">
      <c r="A117" s="21" t="s">
        <v>418</v>
      </c>
      <c r="B117" s="21" t="s">
        <v>431</v>
      </c>
      <c r="C117" s="21" t="s">
        <v>298</v>
      </c>
      <c r="D117" s="21">
        <v>22</v>
      </c>
      <c r="E117" s="21" t="s">
        <v>299</v>
      </c>
      <c r="F117" s="21" t="s">
        <v>300</v>
      </c>
      <c r="G117" s="21" t="s">
        <v>432</v>
      </c>
      <c r="H117" s="40">
        <v>5440</v>
      </c>
      <c r="I117" s="40">
        <v>0</v>
      </c>
      <c r="J117" s="40">
        <v>665398.12</v>
      </c>
      <c r="K117" s="21"/>
    </row>
    <row r="118" ht="64.8" spans="1:11">
      <c r="A118" s="21" t="s">
        <v>418</v>
      </c>
      <c r="B118" s="21" t="s">
        <v>433</v>
      </c>
      <c r="C118" s="21" t="s">
        <v>298</v>
      </c>
      <c r="D118" s="21">
        <v>23</v>
      </c>
      <c r="E118" s="21" t="s">
        <v>299</v>
      </c>
      <c r="F118" s="21" t="s">
        <v>300</v>
      </c>
      <c r="G118" s="21" t="s">
        <v>434</v>
      </c>
      <c r="H118" s="41">
        <v>10000</v>
      </c>
      <c r="I118" s="40">
        <v>0</v>
      </c>
      <c r="J118" s="40">
        <v>675398.12</v>
      </c>
      <c r="K118" s="21"/>
    </row>
    <row r="119" ht="64.8" hidden="1" spans="1:11">
      <c r="A119" s="21" t="s">
        <v>418</v>
      </c>
      <c r="B119" s="21" t="s">
        <v>435</v>
      </c>
      <c r="C119" s="21" t="s">
        <v>314</v>
      </c>
      <c r="D119" s="21">
        <v>22</v>
      </c>
      <c r="E119" s="21" t="s">
        <v>299</v>
      </c>
      <c r="F119" s="21" t="s">
        <v>300</v>
      </c>
      <c r="G119" s="21" t="s">
        <v>436</v>
      </c>
      <c r="H119" s="40">
        <v>60.81</v>
      </c>
      <c r="I119" s="40">
        <v>0</v>
      </c>
      <c r="J119" s="40">
        <v>675458.93</v>
      </c>
      <c r="K119" s="21"/>
    </row>
    <row r="120" ht="64.8" hidden="1" spans="1:11">
      <c r="A120" s="21" t="s">
        <v>418</v>
      </c>
      <c r="B120" s="21" t="s">
        <v>435</v>
      </c>
      <c r="C120" s="21" t="s">
        <v>314</v>
      </c>
      <c r="D120" s="21">
        <v>22</v>
      </c>
      <c r="E120" s="21" t="s">
        <v>299</v>
      </c>
      <c r="F120" s="21" t="s">
        <v>300</v>
      </c>
      <c r="G120" s="21" t="s">
        <v>437</v>
      </c>
      <c r="H120" s="40">
        <v>58478.3</v>
      </c>
      <c r="I120" s="40">
        <v>0</v>
      </c>
      <c r="J120" s="40">
        <v>733937.23</v>
      </c>
      <c r="K120" s="21"/>
    </row>
    <row r="121" ht="97.2" hidden="1" spans="1:11">
      <c r="A121" s="21" t="s">
        <v>418</v>
      </c>
      <c r="B121" s="21" t="s">
        <v>435</v>
      </c>
      <c r="C121" s="21" t="s">
        <v>319</v>
      </c>
      <c r="D121" s="21">
        <v>9</v>
      </c>
      <c r="E121" s="21" t="s">
        <v>299</v>
      </c>
      <c r="F121" s="21" t="s">
        <v>300</v>
      </c>
      <c r="G121" s="21" t="s">
        <v>438</v>
      </c>
      <c r="H121" s="40">
        <v>0</v>
      </c>
      <c r="I121" s="40">
        <v>24000</v>
      </c>
      <c r="J121" s="40">
        <v>709937.23</v>
      </c>
      <c r="K121" s="21"/>
    </row>
    <row r="122" ht="97.2" hidden="1" spans="1:11">
      <c r="A122" s="21" t="s">
        <v>418</v>
      </c>
      <c r="B122" s="21" t="s">
        <v>435</v>
      </c>
      <c r="C122" s="21" t="s">
        <v>319</v>
      </c>
      <c r="D122" s="21">
        <v>9</v>
      </c>
      <c r="E122" s="21" t="s">
        <v>299</v>
      </c>
      <c r="F122" s="21" t="s">
        <v>300</v>
      </c>
      <c r="G122" s="21" t="s">
        <v>439</v>
      </c>
      <c r="H122" s="40">
        <v>0</v>
      </c>
      <c r="I122" s="40">
        <v>1710</v>
      </c>
      <c r="J122" s="40">
        <v>708227.23</v>
      </c>
      <c r="K122" s="21"/>
    </row>
    <row r="123" ht="97.2" hidden="1" spans="1:11">
      <c r="A123" s="21" t="s">
        <v>418</v>
      </c>
      <c r="B123" s="21" t="s">
        <v>435</v>
      </c>
      <c r="C123" s="21" t="s">
        <v>319</v>
      </c>
      <c r="D123" s="21">
        <v>9</v>
      </c>
      <c r="E123" s="21" t="s">
        <v>299</v>
      </c>
      <c r="F123" s="21" t="s">
        <v>300</v>
      </c>
      <c r="G123" s="21" t="s">
        <v>440</v>
      </c>
      <c r="H123" s="40">
        <v>0</v>
      </c>
      <c r="I123" s="40">
        <v>3418.95</v>
      </c>
      <c r="J123" s="40">
        <v>704808.28</v>
      </c>
      <c r="K123" s="21"/>
    </row>
    <row r="124" ht="97.2" hidden="1" spans="1:11">
      <c r="A124" s="21" t="s">
        <v>418</v>
      </c>
      <c r="B124" s="21" t="s">
        <v>435</v>
      </c>
      <c r="C124" s="21" t="s">
        <v>319</v>
      </c>
      <c r="D124" s="21">
        <v>9</v>
      </c>
      <c r="E124" s="21" t="s">
        <v>299</v>
      </c>
      <c r="F124" s="21" t="s">
        <v>300</v>
      </c>
      <c r="G124" s="21" t="s">
        <v>441</v>
      </c>
      <c r="H124" s="40">
        <v>0</v>
      </c>
      <c r="I124" s="40">
        <v>433.33</v>
      </c>
      <c r="J124" s="40">
        <v>704374.95</v>
      </c>
      <c r="K124" s="21"/>
    </row>
    <row r="125" ht="97.2" hidden="1" spans="1:11">
      <c r="A125" s="21" t="s">
        <v>418</v>
      </c>
      <c r="B125" s="21" t="s">
        <v>435</v>
      </c>
      <c r="C125" s="21" t="s">
        <v>319</v>
      </c>
      <c r="D125" s="21">
        <v>9</v>
      </c>
      <c r="E125" s="21" t="s">
        <v>299</v>
      </c>
      <c r="F125" s="21" t="s">
        <v>300</v>
      </c>
      <c r="G125" s="21" t="s">
        <v>442</v>
      </c>
      <c r="H125" s="40">
        <v>0</v>
      </c>
      <c r="I125" s="40">
        <v>187.65</v>
      </c>
      <c r="J125" s="40">
        <v>704187.3</v>
      </c>
      <c r="K125" s="21"/>
    </row>
    <row r="126" ht="97.2" hidden="1" spans="1:11">
      <c r="A126" s="21" t="s">
        <v>418</v>
      </c>
      <c r="B126" s="21" t="s">
        <v>435</v>
      </c>
      <c r="C126" s="21" t="s">
        <v>319</v>
      </c>
      <c r="D126" s="21">
        <v>9</v>
      </c>
      <c r="E126" s="21" t="s">
        <v>299</v>
      </c>
      <c r="F126" s="21" t="s">
        <v>300</v>
      </c>
      <c r="G126" s="21" t="s">
        <v>443</v>
      </c>
      <c r="H126" s="40">
        <v>0</v>
      </c>
      <c r="I126" s="40">
        <v>4017.74</v>
      </c>
      <c r="J126" s="40">
        <v>700169.56</v>
      </c>
      <c r="K126" s="21"/>
    </row>
    <row r="127" ht="97.2" hidden="1" spans="1:11">
      <c r="A127" s="21" t="s">
        <v>418</v>
      </c>
      <c r="B127" s="21" t="s">
        <v>435</v>
      </c>
      <c r="C127" s="21" t="s">
        <v>319</v>
      </c>
      <c r="D127" s="21">
        <v>9</v>
      </c>
      <c r="E127" s="21" t="s">
        <v>299</v>
      </c>
      <c r="F127" s="21" t="s">
        <v>300</v>
      </c>
      <c r="G127" s="21" t="s">
        <v>444</v>
      </c>
      <c r="H127" s="40">
        <v>0</v>
      </c>
      <c r="I127" s="40">
        <v>250</v>
      </c>
      <c r="J127" s="40">
        <v>699919.56</v>
      </c>
      <c r="K127" s="21"/>
    </row>
    <row r="128" ht="97.2" hidden="1" spans="1:11">
      <c r="A128" s="21" t="s">
        <v>418</v>
      </c>
      <c r="B128" s="21" t="s">
        <v>435</v>
      </c>
      <c r="C128" s="21" t="s">
        <v>319</v>
      </c>
      <c r="D128" s="21">
        <v>9</v>
      </c>
      <c r="E128" s="21" t="s">
        <v>299</v>
      </c>
      <c r="F128" s="21" t="s">
        <v>300</v>
      </c>
      <c r="G128" s="21" t="s">
        <v>445</v>
      </c>
      <c r="H128" s="40">
        <v>0</v>
      </c>
      <c r="I128" s="40">
        <v>225</v>
      </c>
      <c r="J128" s="40">
        <v>699694.56</v>
      </c>
      <c r="K128" s="21"/>
    </row>
    <row r="129" ht="97.2" hidden="1" spans="1:11">
      <c r="A129" s="21" t="s">
        <v>418</v>
      </c>
      <c r="B129" s="21" t="s">
        <v>435</v>
      </c>
      <c r="C129" s="21" t="s">
        <v>319</v>
      </c>
      <c r="D129" s="21">
        <v>9</v>
      </c>
      <c r="E129" s="21" t="s">
        <v>299</v>
      </c>
      <c r="F129" s="21" t="s">
        <v>300</v>
      </c>
      <c r="G129" s="21" t="s">
        <v>446</v>
      </c>
      <c r="H129" s="40">
        <v>0</v>
      </c>
      <c r="I129" s="40">
        <v>1665.57</v>
      </c>
      <c r="J129" s="40">
        <v>698028.99</v>
      </c>
      <c r="K129" s="21"/>
    </row>
    <row r="130" ht="97.2" hidden="1" spans="1:11">
      <c r="A130" s="21" t="s">
        <v>418</v>
      </c>
      <c r="B130" s="21" t="s">
        <v>435</v>
      </c>
      <c r="C130" s="21" t="s">
        <v>319</v>
      </c>
      <c r="D130" s="21">
        <v>9</v>
      </c>
      <c r="E130" s="21" t="s">
        <v>299</v>
      </c>
      <c r="F130" s="21" t="s">
        <v>300</v>
      </c>
      <c r="G130" s="21" t="s">
        <v>447</v>
      </c>
      <c r="H130" s="40">
        <v>0</v>
      </c>
      <c r="I130" s="40">
        <v>22984</v>
      </c>
      <c r="J130" s="40">
        <v>675044.99</v>
      </c>
      <c r="K130" s="21"/>
    </row>
    <row r="131" ht="97.2" hidden="1" spans="1:11">
      <c r="A131" s="21" t="s">
        <v>418</v>
      </c>
      <c r="B131" s="21" t="s">
        <v>435</v>
      </c>
      <c r="C131" s="21" t="s">
        <v>319</v>
      </c>
      <c r="D131" s="21">
        <v>9</v>
      </c>
      <c r="E131" s="21" t="s">
        <v>299</v>
      </c>
      <c r="F131" s="21" t="s">
        <v>300</v>
      </c>
      <c r="G131" s="21" t="s">
        <v>448</v>
      </c>
      <c r="H131" s="40">
        <v>0</v>
      </c>
      <c r="I131" s="40">
        <v>4455.85</v>
      </c>
      <c r="J131" s="40">
        <v>670589.14</v>
      </c>
      <c r="K131" s="21"/>
    </row>
    <row r="132" ht="97.2" hidden="1" spans="1:11">
      <c r="A132" s="21" t="s">
        <v>418</v>
      </c>
      <c r="B132" s="21" t="s">
        <v>435</v>
      </c>
      <c r="C132" s="21" t="s">
        <v>319</v>
      </c>
      <c r="D132" s="21">
        <v>9</v>
      </c>
      <c r="E132" s="21" t="s">
        <v>299</v>
      </c>
      <c r="F132" s="21" t="s">
        <v>300</v>
      </c>
      <c r="G132" s="21" t="s">
        <v>449</v>
      </c>
      <c r="H132" s="40">
        <v>0</v>
      </c>
      <c r="I132" s="40">
        <v>2908.81</v>
      </c>
      <c r="J132" s="40">
        <v>667680.33</v>
      </c>
      <c r="K132" s="21"/>
    </row>
    <row r="133" ht="97.2" hidden="1" spans="1:11">
      <c r="A133" s="21" t="s">
        <v>418</v>
      </c>
      <c r="B133" s="21" t="s">
        <v>435</v>
      </c>
      <c r="C133" s="21" t="s">
        <v>319</v>
      </c>
      <c r="D133" s="21">
        <v>9</v>
      </c>
      <c r="E133" s="21" t="s">
        <v>299</v>
      </c>
      <c r="F133" s="21" t="s">
        <v>300</v>
      </c>
      <c r="G133" s="21" t="s">
        <v>450</v>
      </c>
      <c r="H133" s="40">
        <v>0</v>
      </c>
      <c r="I133" s="40">
        <v>609.33</v>
      </c>
      <c r="J133" s="40">
        <v>667071</v>
      </c>
      <c r="K133" s="21"/>
    </row>
    <row r="134" ht="97.2" hidden="1" spans="1:11">
      <c r="A134" s="21" t="s">
        <v>418</v>
      </c>
      <c r="B134" s="21" t="s">
        <v>435</v>
      </c>
      <c r="C134" s="21" t="s">
        <v>319</v>
      </c>
      <c r="D134" s="21">
        <v>9</v>
      </c>
      <c r="E134" s="21" t="s">
        <v>299</v>
      </c>
      <c r="F134" s="21" t="s">
        <v>300</v>
      </c>
      <c r="G134" s="21" t="s">
        <v>451</v>
      </c>
      <c r="H134" s="40">
        <v>0</v>
      </c>
      <c r="I134" s="40">
        <v>1433.33</v>
      </c>
      <c r="J134" s="40">
        <v>665637.67</v>
      </c>
      <c r="K134" s="21"/>
    </row>
    <row r="135" ht="97.2" hidden="1" spans="1:11">
      <c r="A135" s="21" t="s">
        <v>418</v>
      </c>
      <c r="B135" s="21" t="s">
        <v>435</v>
      </c>
      <c r="C135" s="21" t="s">
        <v>319</v>
      </c>
      <c r="D135" s="21">
        <v>9</v>
      </c>
      <c r="E135" s="21" t="s">
        <v>299</v>
      </c>
      <c r="F135" s="21" t="s">
        <v>300</v>
      </c>
      <c r="G135" s="21" t="s">
        <v>452</v>
      </c>
      <c r="H135" s="40">
        <v>0</v>
      </c>
      <c r="I135" s="40">
        <v>2358.49</v>
      </c>
      <c r="J135" s="40">
        <v>663279.18</v>
      </c>
      <c r="K135" s="21"/>
    </row>
    <row r="136" ht="97.2" hidden="1" spans="1:11">
      <c r="A136" s="21" t="s">
        <v>418</v>
      </c>
      <c r="B136" s="21" t="s">
        <v>435</v>
      </c>
      <c r="C136" s="21" t="s">
        <v>319</v>
      </c>
      <c r="D136" s="21">
        <v>9</v>
      </c>
      <c r="E136" s="21" t="s">
        <v>299</v>
      </c>
      <c r="F136" s="21" t="s">
        <v>300</v>
      </c>
      <c r="G136" s="21" t="s">
        <v>453</v>
      </c>
      <c r="H136" s="40">
        <v>0</v>
      </c>
      <c r="I136" s="40">
        <v>289.08</v>
      </c>
      <c r="J136" s="40">
        <v>662990.1</v>
      </c>
      <c r="K136" s="21"/>
    </row>
    <row r="137" ht="97.2" hidden="1" spans="1:11">
      <c r="A137" s="21" t="s">
        <v>418</v>
      </c>
      <c r="B137" s="21" t="s">
        <v>435</v>
      </c>
      <c r="C137" s="21" t="s">
        <v>319</v>
      </c>
      <c r="D137" s="21">
        <v>9</v>
      </c>
      <c r="E137" s="21" t="s">
        <v>299</v>
      </c>
      <c r="F137" s="21" t="s">
        <v>300</v>
      </c>
      <c r="G137" s="21" t="s">
        <v>454</v>
      </c>
      <c r="H137" s="40">
        <v>0</v>
      </c>
      <c r="I137" s="40">
        <v>3728.16</v>
      </c>
      <c r="J137" s="40">
        <v>659261.94</v>
      </c>
      <c r="K137" s="21"/>
    </row>
    <row r="138" ht="97.2" hidden="1" spans="1:11">
      <c r="A138" s="21" t="s">
        <v>418</v>
      </c>
      <c r="B138" s="21" t="s">
        <v>435</v>
      </c>
      <c r="C138" s="21" t="s">
        <v>319</v>
      </c>
      <c r="D138" s="21">
        <v>9</v>
      </c>
      <c r="E138" s="21" t="s">
        <v>299</v>
      </c>
      <c r="F138" s="21" t="s">
        <v>300</v>
      </c>
      <c r="G138" s="21" t="s">
        <v>455</v>
      </c>
      <c r="H138" s="40">
        <v>0</v>
      </c>
      <c r="I138" s="40">
        <v>6261.39</v>
      </c>
      <c r="J138" s="40">
        <v>653000.55</v>
      </c>
      <c r="K138" s="21"/>
    </row>
    <row r="139" ht="97.2" hidden="1" spans="1:11">
      <c r="A139" s="21" t="s">
        <v>418</v>
      </c>
      <c r="B139" s="21" t="s">
        <v>435</v>
      </c>
      <c r="C139" s="21" t="s">
        <v>319</v>
      </c>
      <c r="D139" s="21">
        <v>9</v>
      </c>
      <c r="E139" s="21" t="s">
        <v>299</v>
      </c>
      <c r="F139" s="21" t="s">
        <v>300</v>
      </c>
      <c r="G139" s="21" t="s">
        <v>456</v>
      </c>
      <c r="H139" s="40">
        <v>0</v>
      </c>
      <c r="I139" s="40">
        <v>800</v>
      </c>
      <c r="J139" s="40">
        <v>652200.55</v>
      </c>
      <c r="K139" s="21"/>
    </row>
    <row r="140" ht="97.2" hidden="1" spans="1:11">
      <c r="A140" s="21" t="s">
        <v>418</v>
      </c>
      <c r="B140" s="21" t="s">
        <v>435</v>
      </c>
      <c r="C140" s="21" t="s">
        <v>319</v>
      </c>
      <c r="D140" s="21">
        <v>9</v>
      </c>
      <c r="E140" s="21" t="s">
        <v>299</v>
      </c>
      <c r="F140" s="21" t="s">
        <v>300</v>
      </c>
      <c r="G140" s="21" t="s">
        <v>457</v>
      </c>
      <c r="H140" s="40">
        <v>0</v>
      </c>
      <c r="I140" s="40">
        <v>5396.22</v>
      </c>
      <c r="J140" s="40">
        <v>646804.33</v>
      </c>
      <c r="K140" s="21"/>
    </row>
    <row r="141" ht="97.2" hidden="1" spans="1:11">
      <c r="A141" s="21" t="s">
        <v>418</v>
      </c>
      <c r="B141" s="21" t="s">
        <v>435</v>
      </c>
      <c r="C141" s="21" t="s">
        <v>319</v>
      </c>
      <c r="D141" s="21">
        <v>9</v>
      </c>
      <c r="E141" s="21" t="s">
        <v>299</v>
      </c>
      <c r="F141" s="21" t="s">
        <v>300</v>
      </c>
      <c r="G141" s="21" t="s">
        <v>458</v>
      </c>
      <c r="H141" s="40">
        <v>0</v>
      </c>
      <c r="I141" s="40">
        <v>664.84</v>
      </c>
      <c r="J141" s="40">
        <v>646139.49</v>
      </c>
      <c r="K141" s="21"/>
    </row>
    <row r="142" ht="97.2" hidden="1" spans="1:11">
      <c r="A142" s="21" t="s">
        <v>418</v>
      </c>
      <c r="B142" s="21" t="s">
        <v>435</v>
      </c>
      <c r="C142" s="21" t="s">
        <v>319</v>
      </c>
      <c r="D142" s="21">
        <v>9</v>
      </c>
      <c r="E142" s="21" t="s">
        <v>299</v>
      </c>
      <c r="F142" s="21" t="s">
        <v>300</v>
      </c>
      <c r="G142" s="21" t="s">
        <v>459</v>
      </c>
      <c r="H142" s="40">
        <v>0</v>
      </c>
      <c r="I142" s="40">
        <v>1000</v>
      </c>
      <c r="J142" s="40">
        <v>645139.49</v>
      </c>
      <c r="K142" s="21"/>
    </row>
    <row r="143" ht="97.2" hidden="1" spans="1:11">
      <c r="A143" s="21" t="s">
        <v>418</v>
      </c>
      <c r="B143" s="21" t="s">
        <v>435</v>
      </c>
      <c r="C143" s="21" t="s">
        <v>319</v>
      </c>
      <c r="D143" s="21">
        <v>9</v>
      </c>
      <c r="E143" s="21" t="s">
        <v>299</v>
      </c>
      <c r="F143" s="21" t="s">
        <v>300</v>
      </c>
      <c r="G143" s="21" t="s">
        <v>460</v>
      </c>
      <c r="H143" s="40">
        <v>0</v>
      </c>
      <c r="I143" s="40">
        <v>291</v>
      </c>
      <c r="J143" s="40">
        <v>644848.49</v>
      </c>
      <c r="K143" s="21"/>
    </row>
    <row r="144" ht="97.2" hidden="1" spans="1:11">
      <c r="A144" s="21" t="s">
        <v>418</v>
      </c>
      <c r="B144" s="21" t="s">
        <v>435</v>
      </c>
      <c r="C144" s="21" t="s">
        <v>319</v>
      </c>
      <c r="D144" s="21">
        <v>9</v>
      </c>
      <c r="E144" s="21" t="s">
        <v>299</v>
      </c>
      <c r="F144" s="21" t="s">
        <v>300</v>
      </c>
      <c r="G144" s="21" t="s">
        <v>461</v>
      </c>
      <c r="H144" s="40">
        <v>0</v>
      </c>
      <c r="I144" s="40">
        <v>1779.94</v>
      </c>
      <c r="J144" s="40">
        <v>643068.55</v>
      </c>
      <c r="K144" s="21"/>
    </row>
    <row r="145" ht="97.2" hidden="1" spans="1:11">
      <c r="A145" s="21" t="s">
        <v>418</v>
      </c>
      <c r="B145" s="21" t="s">
        <v>435</v>
      </c>
      <c r="C145" s="21" t="s">
        <v>319</v>
      </c>
      <c r="D145" s="21">
        <v>9</v>
      </c>
      <c r="E145" s="21" t="s">
        <v>299</v>
      </c>
      <c r="F145" s="21" t="s">
        <v>300</v>
      </c>
      <c r="G145" s="21" t="s">
        <v>462</v>
      </c>
      <c r="H145" s="40">
        <v>0</v>
      </c>
      <c r="I145" s="40">
        <v>1100</v>
      </c>
      <c r="J145" s="40">
        <v>641968.55</v>
      </c>
      <c r="K145" s="21"/>
    </row>
    <row r="146" ht="97.2" hidden="1" spans="1:11">
      <c r="A146" s="21" t="s">
        <v>418</v>
      </c>
      <c r="B146" s="21" t="s">
        <v>435</v>
      </c>
      <c r="C146" s="21" t="s">
        <v>319</v>
      </c>
      <c r="D146" s="21">
        <v>9</v>
      </c>
      <c r="E146" s="21" t="s">
        <v>299</v>
      </c>
      <c r="F146" s="21" t="s">
        <v>300</v>
      </c>
      <c r="G146" s="21" t="s">
        <v>463</v>
      </c>
      <c r="H146" s="40">
        <v>0</v>
      </c>
      <c r="I146" s="40">
        <v>7703.68</v>
      </c>
      <c r="J146" s="40">
        <v>634264.87</v>
      </c>
      <c r="K146" s="21"/>
    </row>
    <row r="147" ht="97.2" hidden="1" spans="1:11">
      <c r="A147" s="21" t="s">
        <v>418</v>
      </c>
      <c r="B147" s="21" t="s">
        <v>435</v>
      </c>
      <c r="C147" s="21" t="s">
        <v>319</v>
      </c>
      <c r="D147" s="21">
        <v>9</v>
      </c>
      <c r="E147" s="21" t="s">
        <v>299</v>
      </c>
      <c r="F147" s="21" t="s">
        <v>300</v>
      </c>
      <c r="G147" s="21" t="s">
        <v>464</v>
      </c>
      <c r="H147" s="40">
        <v>0</v>
      </c>
      <c r="I147" s="40">
        <v>6432.25</v>
      </c>
      <c r="J147" s="40">
        <v>627832.62</v>
      </c>
      <c r="K147" s="21"/>
    </row>
    <row r="148" ht="97.2" hidden="1" spans="1:11">
      <c r="A148" s="21" t="s">
        <v>418</v>
      </c>
      <c r="B148" s="21" t="s">
        <v>435</v>
      </c>
      <c r="C148" s="21" t="s">
        <v>319</v>
      </c>
      <c r="D148" s="21">
        <v>9</v>
      </c>
      <c r="E148" s="21" t="s">
        <v>299</v>
      </c>
      <c r="F148" s="21" t="s">
        <v>300</v>
      </c>
      <c r="G148" s="21" t="s">
        <v>415</v>
      </c>
      <c r="H148" s="40">
        <v>0</v>
      </c>
      <c r="I148" s="40">
        <v>807.86</v>
      </c>
      <c r="J148" s="40">
        <v>627024.76</v>
      </c>
      <c r="K148" s="21"/>
    </row>
    <row r="149" ht="97.2" hidden="1" spans="1:11">
      <c r="A149" s="21" t="s">
        <v>418</v>
      </c>
      <c r="B149" s="21" t="s">
        <v>435</v>
      </c>
      <c r="C149" s="21" t="s">
        <v>319</v>
      </c>
      <c r="D149" s="21">
        <v>9</v>
      </c>
      <c r="E149" s="21" t="s">
        <v>299</v>
      </c>
      <c r="F149" s="21" t="s">
        <v>300</v>
      </c>
      <c r="G149" s="21" t="s">
        <v>465</v>
      </c>
      <c r="H149" s="40">
        <v>0</v>
      </c>
      <c r="I149" s="40">
        <v>471.7</v>
      </c>
      <c r="J149" s="40">
        <v>626553.06</v>
      </c>
      <c r="K149" s="21"/>
    </row>
    <row r="150" ht="97.2" hidden="1" spans="1:11">
      <c r="A150" s="21" t="s">
        <v>418</v>
      </c>
      <c r="B150" s="21" t="s">
        <v>435</v>
      </c>
      <c r="C150" s="21" t="s">
        <v>319</v>
      </c>
      <c r="D150" s="21">
        <v>9</v>
      </c>
      <c r="E150" s="21" t="s">
        <v>299</v>
      </c>
      <c r="F150" s="21" t="s">
        <v>300</v>
      </c>
      <c r="G150" s="21" t="s">
        <v>466</v>
      </c>
      <c r="H150" s="40">
        <v>0</v>
      </c>
      <c r="I150" s="40">
        <v>7860</v>
      </c>
      <c r="J150" s="40">
        <v>618693.06</v>
      </c>
      <c r="K150" s="21"/>
    </row>
    <row r="151" ht="97.2" hidden="1" spans="1:11">
      <c r="A151" s="21" t="s">
        <v>418</v>
      </c>
      <c r="B151" s="21" t="s">
        <v>435</v>
      </c>
      <c r="C151" s="21" t="s">
        <v>319</v>
      </c>
      <c r="D151" s="21">
        <v>9</v>
      </c>
      <c r="E151" s="21" t="s">
        <v>299</v>
      </c>
      <c r="F151" s="21" t="s">
        <v>300</v>
      </c>
      <c r="G151" s="21" t="s">
        <v>467</v>
      </c>
      <c r="H151" s="40">
        <v>0</v>
      </c>
      <c r="I151" s="40">
        <v>760</v>
      </c>
      <c r="J151" s="40">
        <v>617933.06</v>
      </c>
      <c r="K151" s="21"/>
    </row>
    <row r="152" ht="97.2" hidden="1" spans="1:11">
      <c r="A152" s="21" t="s">
        <v>418</v>
      </c>
      <c r="B152" s="21" t="s">
        <v>435</v>
      </c>
      <c r="C152" s="21" t="s">
        <v>319</v>
      </c>
      <c r="D152" s="21">
        <v>9</v>
      </c>
      <c r="E152" s="21" t="s">
        <v>299</v>
      </c>
      <c r="F152" s="21" t="s">
        <v>300</v>
      </c>
      <c r="G152" s="21" t="s">
        <v>468</v>
      </c>
      <c r="H152" s="40">
        <v>0</v>
      </c>
      <c r="I152" s="40">
        <v>1667</v>
      </c>
      <c r="J152" s="40">
        <v>616266.06</v>
      </c>
      <c r="K152" s="21"/>
    </row>
    <row r="153" ht="97.2" hidden="1" spans="1:11">
      <c r="A153" s="21" t="s">
        <v>418</v>
      </c>
      <c r="B153" s="21" t="s">
        <v>435</v>
      </c>
      <c r="C153" s="21" t="s">
        <v>319</v>
      </c>
      <c r="D153" s="21">
        <v>9</v>
      </c>
      <c r="E153" s="21" t="s">
        <v>299</v>
      </c>
      <c r="F153" s="21" t="s">
        <v>300</v>
      </c>
      <c r="G153" s="21" t="s">
        <v>469</v>
      </c>
      <c r="H153" s="40">
        <v>0</v>
      </c>
      <c r="I153" s="40">
        <v>4127.88</v>
      </c>
      <c r="J153" s="40">
        <v>612138.18</v>
      </c>
      <c r="K153" s="21"/>
    </row>
    <row r="154" ht="97.2" hidden="1" spans="1:11">
      <c r="A154" s="21" t="s">
        <v>418</v>
      </c>
      <c r="B154" s="21" t="s">
        <v>435</v>
      </c>
      <c r="C154" s="21" t="s">
        <v>319</v>
      </c>
      <c r="D154" s="21">
        <v>9</v>
      </c>
      <c r="E154" s="21" t="s">
        <v>299</v>
      </c>
      <c r="F154" s="21" t="s">
        <v>300</v>
      </c>
      <c r="G154" s="21" t="s">
        <v>470</v>
      </c>
      <c r="H154" s="40">
        <v>0</v>
      </c>
      <c r="I154" s="40">
        <v>1025</v>
      </c>
      <c r="J154" s="40">
        <v>611113.18</v>
      </c>
      <c r="K154" s="21"/>
    </row>
    <row r="155" ht="97.2" hidden="1" spans="1:11">
      <c r="A155" s="21" t="s">
        <v>418</v>
      </c>
      <c r="B155" s="21" t="s">
        <v>435</v>
      </c>
      <c r="C155" s="21" t="s">
        <v>319</v>
      </c>
      <c r="D155" s="21">
        <v>9</v>
      </c>
      <c r="E155" s="21" t="s">
        <v>299</v>
      </c>
      <c r="F155" s="21" t="s">
        <v>300</v>
      </c>
      <c r="G155" s="21" t="s">
        <v>471</v>
      </c>
      <c r="H155" s="40">
        <v>0</v>
      </c>
      <c r="I155" s="40">
        <v>2350</v>
      </c>
      <c r="J155" s="40">
        <v>608763.18</v>
      </c>
      <c r="K155" s="21"/>
    </row>
    <row r="156" ht="97.2" hidden="1" spans="1:11">
      <c r="A156" s="21" t="s">
        <v>418</v>
      </c>
      <c r="B156" s="21" t="s">
        <v>435</v>
      </c>
      <c r="C156" s="21" t="s">
        <v>319</v>
      </c>
      <c r="D156" s="21">
        <v>9</v>
      </c>
      <c r="E156" s="21" t="s">
        <v>299</v>
      </c>
      <c r="F156" s="21" t="s">
        <v>300</v>
      </c>
      <c r="G156" s="21" t="s">
        <v>472</v>
      </c>
      <c r="H156" s="40">
        <v>0</v>
      </c>
      <c r="I156" s="40">
        <v>907</v>
      </c>
      <c r="J156" s="40">
        <v>607856.18</v>
      </c>
      <c r="K156" s="21"/>
    </row>
    <row r="157" ht="97.2" hidden="1" spans="1:11">
      <c r="A157" s="21" t="s">
        <v>418</v>
      </c>
      <c r="B157" s="21" t="s">
        <v>435</v>
      </c>
      <c r="C157" s="21" t="s">
        <v>319</v>
      </c>
      <c r="D157" s="21">
        <v>9</v>
      </c>
      <c r="E157" s="21" t="s">
        <v>299</v>
      </c>
      <c r="F157" s="21" t="s">
        <v>300</v>
      </c>
      <c r="G157" s="21" t="s">
        <v>473</v>
      </c>
      <c r="H157" s="40">
        <v>0</v>
      </c>
      <c r="I157" s="40">
        <v>5847.83</v>
      </c>
      <c r="J157" s="40">
        <v>602008.35</v>
      </c>
      <c r="K157" s="21"/>
    </row>
    <row r="158" ht="97.2" hidden="1" spans="1:11">
      <c r="A158" s="21" t="s">
        <v>418</v>
      </c>
      <c r="B158" s="21" t="s">
        <v>435</v>
      </c>
      <c r="C158" s="21" t="s">
        <v>319</v>
      </c>
      <c r="D158" s="21">
        <v>9</v>
      </c>
      <c r="E158" s="21" t="s">
        <v>299</v>
      </c>
      <c r="F158" s="21" t="s">
        <v>300</v>
      </c>
      <c r="G158" s="21" t="s">
        <v>474</v>
      </c>
      <c r="H158" s="40">
        <v>27328</v>
      </c>
      <c r="I158" s="40">
        <v>0</v>
      </c>
      <c r="J158" s="40">
        <v>629336.35</v>
      </c>
      <c r="K158" s="21"/>
    </row>
    <row r="159" ht="97.2" hidden="1" spans="1:11">
      <c r="A159" s="21" t="s">
        <v>418</v>
      </c>
      <c r="B159" s="21" t="s">
        <v>435</v>
      </c>
      <c r="C159" s="21" t="s">
        <v>319</v>
      </c>
      <c r="D159" s="21">
        <v>10</v>
      </c>
      <c r="E159" s="21" t="s">
        <v>299</v>
      </c>
      <c r="F159" s="21" t="s">
        <v>300</v>
      </c>
      <c r="G159" s="21" t="s">
        <v>475</v>
      </c>
      <c r="H159" s="40">
        <v>0</v>
      </c>
      <c r="I159" s="40">
        <v>499.97</v>
      </c>
      <c r="J159" s="40">
        <v>628836.38</v>
      </c>
      <c r="K159" s="21"/>
    </row>
    <row r="160" ht="97.2" hidden="1" spans="1:11">
      <c r="A160" s="21" t="s">
        <v>418</v>
      </c>
      <c r="B160" s="21" t="s">
        <v>435</v>
      </c>
      <c r="C160" s="21" t="s">
        <v>319</v>
      </c>
      <c r="D160" s="21">
        <v>10</v>
      </c>
      <c r="E160" s="21" t="s">
        <v>299</v>
      </c>
      <c r="F160" s="21" t="s">
        <v>300</v>
      </c>
      <c r="G160" s="21" t="s">
        <v>476</v>
      </c>
      <c r="H160" s="40">
        <v>0</v>
      </c>
      <c r="I160" s="40">
        <v>1257.12</v>
      </c>
      <c r="J160" s="40">
        <v>627579.26</v>
      </c>
      <c r="K160" s="21"/>
    </row>
    <row r="161" ht="97.2" hidden="1" spans="1:11">
      <c r="A161" s="21" t="s">
        <v>418</v>
      </c>
      <c r="B161" s="21" t="s">
        <v>435</v>
      </c>
      <c r="C161" s="21" t="s">
        <v>319</v>
      </c>
      <c r="D161" s="21">
        <v>10</v>
      </c>
      <c r="E161" s="21" t="s">
        <v>299</v>
      </c>
      <c r="F161" s="21" t="s">
        <v>300</v>
      </c>
      <c r="G161" s="21" t="s">
        <v>477</v>
      </c>
      <c r="H161" s="40">
        <v>0</v>
      </c>
      <c r="I161" s="40">
        <v>420</v>
      </c>
      <c r="J161" s="40">
        <v>627159.26</v>
      </c>
      <c r="K161" s="21"/>
    </row>
    <row r="162" ht="97.2" hidden="1" spans="1:11">
      <c r="A162" s="21" t="s">
        <v>418</v>
      </c>
      <c r="B162" s="21" t="s">
        <v>435</v>
      </c>
      <c r="C162" s="21" t="s">
        <v>319</v>
      </c>
      <c r="D162" s="21">
        <v>10</v>
      </c>
      <c r="E162" s="21" t="s">
        <v>299</v>
      </c>
      <c r="F162" s="21" t="s">
        <v>300</v>
      </c>
      <c r="G162" s="21" t="s">
        <v>478</v>
      </c>
      <c r="H162" s="40">
        <v>0</v>
      </c>
      <c r="I162" s="40">
        <v>804.7</v>
      </c>
      <c r="J162" s="40">
        <v>626354.56</v>
      </c>
      <c r="K162" s="21"/>
    </row>
    <row r="163" ht="97.2" hidden="1" spans="1:11">
      <c r="A163" s="21" t="s">
        <v>418</v>
      </c>
      <c r="B163" s="21" t="s">
        <v>435</v>
      </c>
      <c r="C163" s="21" t="s">
        <v>319</v>
      </c>
      <c r="D163" s="21">
        <v>10</v>
      </c>
      <c r="E163" s="21" t="s">
        <v>299</v>
      </c>
      <c r="F163" s="21" t="s">
        <v>300</v>
      </c>
      <c r="G163" s="21" t="s">
        <v>479</v>
      </c>
      <c r="H163" s="40">
        <v>0</v>
      </c>
      <c r="I163" s="40">
        <v>900</v>
      </c>
      <c r="J163" s="40">
        <v>625454.56</v>
      </c>
      <c r="K163" s="21"/>
    </row>
    <row r="164" ht="97.2" hidden="1" spans="1:11">
      <c r="A164" s="21" t="s">
        <v>418</v>
      </c>
      <c r="B164" s="21" t="s">
        <v>435</v>
      </c>
      <c r="C164" s="21" t="s">
        <v>319</v>
      </c>
      <c r="D164" s="21">
        <v>10</v>
      </c>
      <c r="E164" s="21" t="s">
        <v>299</v>
      </c>
      <c r="F164" s="21" t="s">
        <v>300</v>
      </c>
      <c r="G164" s="21" t="s">
        <v>480</v>
      </c>
      <c r="H164" s="40">
        <v>0</v>
      </c>
      <c r="I164" s="40">
        <v>654.04</v>
      </c>
      <c r="J164" s="40">
        <v>624800.52</v>
      </c>
      <c r="K164" s="21"/>
    </row>
    <row r="165" ht="97.2" hidden="1" spans="1:11">
      <c r="A165" s="21" t="s">
        <v>418</v>
      </c>
      <c r="B165" s="21" t="s">
        <v>435</v>
      </c>
      <c r="C165" s="21" t="s">
        <v>319</v>
      </c>
      <c r="D165" s="21">
        <v>10</v>
      </c>
      <c r="E165" s="21" t="s">
        <v>299</v>
      </c>
      <c r="F165" s="21" t="s">
        <v>300</v>
      </c>
      <c r="G165" s="21" t="s">
        <v>481</v>
      </c>
      <c r="H165" s="40">
        <v>0</v>
      </c>
      <c r="I165" s="40">
        <v>162</v>
      </c>
      <c r="J165" s="40">
        <v>624638.52</v>
      </c>
      <c r="K165" s="21"/>
    </row>
    <row r="166" ht="97.2" hidden="1" spans="1:11">
      <c r="A166" s="21" t="s">
        <v>418</v>
      </c>
      <c r="B166" s="21" t="s">
        <v>435</v>
      </c>
      <c r="C166" s="21" t="s">
        <v>319</v>
      </c>
      <c r="D166" s="21">
        <v>10</v>
      </c>
      <c r="E166" s="21" t="s">
        <v>299</v>
      </c>
      <c r="F166" s="21" t="s">
        <v>300</v>
      </c>
      <c r="G166" s="21" t="s">
        <v>482</v>
      </c>
      <c r="H166" s="40">
        <v>0</v>
      </c>
      <c r="I166" s="40">
        <v>4000</v>
      </c>
      <c r="J166" s="40">
        <v>620638.52</v>
      </c>
      <c r="K166" s="21"/>
    </row>
    <row r="167" ht="97.2" hidden="1" spans="1:11">
      <c r="A167" s="21" t="s">
        <v>418</v>
      </c>
      <c r="B167" s="21" t="s">
        <v>435</v>
      </c>
      <c r="C167" s="21" t="s">
        <v>319</v>
      </c>
      <c r="D167" s="21">
        <v>10</v>
      </c>
      <c r="E167" s="21" t="s">
        <v>299</v>
      </c>
      <c r="F167" s="21" t="s">
        <v>300</v>
      </c>
      <c r="G167" s="21" t="s">
        <v>483</v>
      </c>
      <c r="H167" s="40">
        <v>0</v>
      </c>
      <c r="I167" s="40">
        <v>7648.98</v>
      </c>
      <c r="J167" s="40">
        <v>612989.54</v>
      </c>
      <c r="K167" s="21"/>
    </row>
    <row r="168" ht="97.2" hidden="1" spans="1:11">
      <c r="A168" s="21" t="s">
        <v>418</v>
      </c>
      <c r="B168" s="21" t="s">
        <v>435</v>
      </c>
      <c r="C168" s="21" t="s">
        <v>319</v>
      </c>
      <c r="D168" s="21">
        <v>10</v>
      </c>
      <c r="E168" s="21" t="s">
        <v>299</v>
      </c>
      <c r="F168" s="21" t="s">
        <v>300</v>
      </c>
      <c r="G168" s="21" t="s">
        <v>484</v>
      </c>
      <c r="H168" s="40">
        <v>0</v>
      </c>
      <c r="I168" s="40">
        <v>1507.84</v>
      </c>
      <c r="J168" s="40">
        <v>611481.7</v>
      </c>
      <c r="K168" s="21"/>
    </row>
    <row r="169" ht="21.6" hidden="1" spans="1:11">
      <c r="A169" s="21" t="s">
        <v>418</v>
      </c>
      <c r="B169" s="21"/>
      <c r="C169" s="21"/>
      <c r="D169" s="21"/>
      <c r="E169" s="21"/>
      <c r="F169" s="21"/>
      <c r="G169" s="21" t="s">
        <v>361</v>
      </c>
      <c r="H169" s="40">
        <v>189005.55</v>
      </c>
      <c r="I169" s="40">
        <v>149783.53</v>
      </c>
      <c r="J169" s="40">
        <v>611481.7</v>
      </c>
      <c r="K169" s="21"/>
    </row>
    <row r="170" ht="21.6" hidden="1" spans="1:11">
      <c r="A170" s="21" t="s">
        <v>418</v>
      </c>
      <c r="B170" s="21"/>
      <c r="C170" s="21"/>
      <c r="D170" s="21"/>
      <c r="E170" s="21"/>
      <c r="F170" s="21"/>
      <c r="G170" s="21" t="s">
        <v>362</v>
      </c>
      <c r="H170" s="40">
        <v>467159.64</v>
      </c>
      <c r="I170" s="40">
        <v>438345.11</v>
      </c>
      <c r="J170" s="40">
        <v>611481.7</v>
      </c>
      <c r="K170" s="21"/>
    </row>
    <row r="171" ht="21.6" hidden="1" spans="1:11">
      <c r="A171" s="21" t="s">
        <v>485</v>
      </c>
      <c r="B171" s="21"/>
      <c r="C171" s="21"/>
      <c r="D171" s="21"/>
      <c r="E171" s="21"/>
      <c r="F171" s="21"/>
      <c r="G171" s="21" t="s">
        <v>296</v>
      </c>
      <c r="H171" s="21"/>
      <c r="I171" s="21"/>
      <c r="J171" s="40">
        <v>611481.7</v>
      </c>
      <c r="K171" s="21"/>
    </row>
    <row r="172" ht="64.8" hidden="1" spans="1:11">
      <c r="A172" s="21" t="s">
        <v>485</v>
      </c>
      <c r="B172" s="21" t="s">
        <v>486</v>
      </c>
      <c r="C172" s="21" t="s">
        <v>298</v>
      </c>
      <c r="D172" s="21">
        <v>2</v>
      </c>
      <c r="E172" s="21" t="s">
        <v>299</v>
      </c>
      <c r="F172" s="21" t="s">
        <v>300</v>
      </c>
      <c r="G172" s="21" t="s">
        <v>487</v>
      </c>
      <c r="H172" s="40">
        <v>9847.2</v>
      </c>
      <c r="I172" s="40">
        <v>0</v>
      </c>
      <c r="J172" s="40">
        <v>621328.9</v>
      </c>
      <c r="K172" s="21"/>
    </row>
    <row r="173" ht="64.8" hidden="1" spans="1:11">
      <c r="A173" s="21" t="s">
        <v>485</v>
      </c>
      <c r="B173" s="21" t="s">
        <v>488</v>
      </c>
      <c r="C173" s="21" t="s">
        <v>298</v>
      </c>
      <c r="D173" s="21">
        <v>3</v>
      </c>
      <c r="E173" s="21" t="s">
        <v>299</v>
      </c>
      <c r="F173" s="21" t="s">
        <v>300</v>
      </c>
      <c r="G173" s="21" t="s">
        <v>489</v>
      </c>
      <c r="H173" s="40">
        <v>20639.4</v>
      </c>
      <c r="I173" s="40">
        <v>0</v>
      </c>
      <c r="J173" s="40">
        <v>641968.3</v>
      </c>
      <c r="K173" s="21"/>
    </row>
    <row r="174" ht="64.8" hidden="1" spans="1:11">
      <c r="A174" s="21" t="s">
        <v>485</v>
      </c>
      <c r="B174" s="21" t="s">
        <v>490</v>
      </c>
      <c r="C174" s="21" t="s">
        <v>298</v>
      </c>
      <c r="D174" s="21">
        <v>9</v>
      </c>
      <c r="E174" s="21" t="s">
        <v>299</v>
      </c>
      <c r="F174" s="21" t="s">
        <v>300</v>
      </c>
      <c r="G174" s="21" t="s">
        <v>491</v>
      </c>
      <c r="H174" s="40">
        <v>8780.77</v>
      </c>
      <c r="I174" s="40">
        <v>0</v>
      </c>
      <c r="J174" s="40">
        <v>650749.07</v>
      </c>
      <c r="K174" s="21"/>
    </row>
    <row r="175" ht="64.8" hidden="1" spans="1:11">
      <c r="A175" s="21" t="s">
        <v>485</v>
      </c>
      <c r="B175" s="21" t="s">
        <v>492</v>
      </c>
      <c r="C175" s="21" t="s">
        <v>298</v>
      </c>
      <c r="D175" s="21">
        <v>11</v>
      </c>
      <c r="E175" s="21" t="s">
        <v>299</v>
      </c>
      <c r="F175" s="21" t="s">
        <v>300</v>
      </c>
      <c r="G175" s="21" t="s">
        <v>493</v>
      </c>
      <c r="H175" s="40">
        <v>10200</v>
      </c>
      <c r="I175" s="40">
        <v>0</v>
      </c>
      <c r="J175" s="40">
        <v>660949.07</v>
      </c>
      <c r="K175" s="21"/>
    </row>
    <row r="176" ht="64.8" hidden="1" spans="1:11">
      <c r="A176" s="21" t="s">
        <v>485</v>
      </c>
      <c r="B176" s="21" t="s">
        <v>494</v>
      </c>
      <c r="C176" s="21" t="s">
        <v>298</v>
      </c>
      <c r="D176" s="21">
        <v>14</v>
      </c>
      <c r="E176" s="21" t="s">
        <v>299</v>
      </c>
      <c r="F176" s="21" t="s">
        <v>300</v>
      </c>
      <c r="G176" s="21" t="s">
        <v>495</v>
      </c>
      <c r="H176" s="40">
        <v>16200</v>
      </c>
      <c r="I176" s="40">
        <v>0</v>
      </c>
      <c r="J176" s="40">
        <v>677149.07</v>
      </c>
      <c r="K176" s="21"/>
    </row>
    <row r="177" ht="64.8" hidden="1" spans="1:11">
      <c r="A177" s="21" t="s">
        <v>485</v>
      </c>
      <c r="B177" s="21" t="s">
        <v>494</v>
      </c>
      <c r="C177" s="21" t="s">
        <v>298</v>
      </c>
      <c r="D177" s="21">
        <v>14</v>
      </c>
      <c r="E177" s="21" t="s">
        <v>299</v>
      </c>
      <c r="F177" s="21" t="s">
        <v>300</v>
      </c>
      <c r="G177" s="21" t="s">
        <v>496</v>
      </c>
      <c r="H177" s="40">
        <v>5400</v>
      </c>
      <c r="I177" s="40">
        <v>0</v>
      </c>
      <c r="J177" s="40">
        <v>682549.07</v>
      </c>
      <c r="K177" s="21"/>
    </row>
    <row r="178" ht="64.8" hidden="1" spans="1:11">
      <c r="A178" s="21" t="s">
        <v>485</v>
      </c>
      <c r="B178" s="21" t="s">
        <v>494</v>
      </c>
      <c r="C178" s="21" t="s">
        <v>298</v>
      </c>
      <c r="D178" s="21">
        <v>14</v>
      </c>
      <c r="E178" s="21" t="s">
        <v>299</v>
      </c>
      <c r="F178" s="21" t="s">
        <v>300</v>
      </c>
      <c r="G178" s="21" t="s">
        <v>497</v>
      </c>
      <c r="H178" s="40">
        <v>6837.61</v>
      </c>
      <c r="I178" s="40">
        <v>0</v>
      </c>
      <c r="J178" s="40">
        <v>689386.68</v>
      </c>
      <c r="K178" s="21"/>
    </row>
    <row r="179" ht="64.8" hidden="1" spans="1:11">
      <c r="A179" s="21" t="s">
        <v>485</v>
      </c>
      <c r="B179" s="21" t="s">
        <v>494</v>
      </c>
      <c r="C179" s="21" t="s">
        <v>298</v>
      </c>
      <c r="D179" s="21">
        <v>14</v>
      </c>
      <c r="E179" s="21" t="s">
        <v>299</v>
      </c>
      <c r="F179" s="21" t="s">
        <v>300</v>
      </c>
      <c r="G179" s="21" t="s">
        <v>498</v>
      </c>
      <c r="H179" s="40">
        <v>430793.16</v>
      </c>
      <c r="I179" s="40">
        <v>0</v>
      </c>
      <c r="J179" s="40">
        <v>1120179.84</v>
      </c>
      <c r="K179" s="21"/>
    </row>
    <row r="180" ht="64.8" hidden="1" spans="1:11">
      <c r="A180" s="21" t="s">
        <v>485</v>
      </c>
      <c r="B180" s="21" t="s">
        <v>499</v>
      </c>
      <c r="C180" s="21" t="s">
        <v>298</v>
      </c>
      <c r="D180" s="21">
        <v>15</v>
      </c>
      <c r="E180" s="21" t="s">
        <v>299</v>
      </c>
      <c r="F180" s="21" t="s">
        <v>300</v>
      </c>
      <c r="G180" s="21" t="s">
        <v>500</v>
      </c>
      <c r="H180" s="40">
        <v>17094</v>
      </c>
      <c r="I180" s="40">
        <v>0</v>
      </c>
      <c r="J180" s="40">
        <v>1137273.84</v>
      </c>
      <c r="K180" s="21"/>
    </row>
    <row r="181" ht="64.8" hidden="1" spans="1:11">
      <c r="A181" s="21" t="s">
        <v>485</v>
      </c>
      <c r="B181" s="21" t="s">
        <v>501</v>
      </c>
      <c r="C181" s="21" t="s">
        <v>314</v>
      </c>
      <c r="D181" s="21">
        <v>15</v>
      </c>
      <c r="E181" s="21" t="s">
        <v>299</v>
      </c>
      <c r="F181" s="21" t="s">
        <v>300</v>
      </c>
      <c r="G181" s="21" t="s">
        <v>502</v>
      </c>
      <c r="H181" s="40">
        <v>0</v>
      </c>
      <c r="I181" s="40">
        <v>52.04</v>
      </c>
      <c r="J181" s="40">
        <v>1137221.8</v>
      </c>
      <c r="K181" s="21"/>
    </row>
    <row r="182" ht="64.8" hidden="1" spans="1:11">
      <c r="A182" s="21" t="s">
        <v>485</v>
      </c>
      <c r="B182" s="21" t="s">
        <v>501</v>
      </c>
      <c r="C182" s="21" t="s">
        <v>314</v>
      </c>
      <c r="D182" s="21">
        <v>15</v>
      </c>
      <c r="E182" s="21" t="s">
        <v>299</v>
      </c>
      <c r="F182" s="21" t="s">
        <v>300</v>
      </c>
      <c r="G182" s="21" t="s">
        <v>503</v>
      </c>
      <c r="H182" s="40">
        <v>32.4</v>
      </c>
      <c r="I182" s="40">
        <v>0</v>
      </c>
      <c r="J182" s="40">
        <v>1137254.2</v>
      </c>
      <c r="K182" s="21"/>
    </row>
    <row r="183" ht="64.8" hidden="1" spans="1:11">
      <c r="A183" s="21" t="s">
        <v>485</v>
      </c>
      <c r="B183" s="21" t="s">
        <v>501</v>
      </c>
      <c r="C183" s="21" t="s">
        <v>314</v>
      </c>
      <c r="D183" s="21">
        <v>15</v>
      </c>
      <c r="E183" s="21" t="s">
        <v>299</v>
      </c>
      <c r="F183" s="21" t="s">
        <v>300</v>
      </c>
      <c r="G183" s="21" t="s">
        <v>504</v>
      </c>
      <c r="H183" s="40">
        <v>0</v>
      </c>
      <c r="I183" s="40">
        <v>308.21</v>
      </c>
      <c r="J183" s="40">
        <v>1136945.99</v>
      </c>
      <c r="K183" s="21"/>
    </row>
    <row r="184" ht="64.8" hidden="1" spans="1:11">
      <c r="A184" s="21" t="s">
        <v>485</v>
      </c>
      <c r="B184" s="21" t="s">
        <v>501</v>
      </c>
      <c r="C184" s="21" t="s">
        <v>314</v>
      </c>
      <c r="D184" s="21">
        <v>15</v>
      </c>
      <c r="E184" s="21" t="s">
        <v>299</v>
      </c>
      <c r="F184" s="21" t="s">
        <v>300</v>
      </c>
      <c r="G184" s="21" t="s">
        <v>505</v>
      </c>
      <c r="H184" s="40">
        <v>957.91</v>
      </c>
      <c r="I184" s="40">
        <v>0</v>
      </c>
      <c r="J184" s="40">
        <v>1137903.9</v>
      </c>
      <c r="K184" s="21"/>
    </row>
    <row r="185" ht="64.8" hidden="1" spans="1:11">
      <c r="A185" s="21" t="s">
        <v>485</v>
      </c>
      <c r="B185" s="21" t="s">
        <v>501</v>
      </c>
      <c r="C185" s="21" t="s">
        <v>298</v>
      </c>
      <c r="D185" s="21">
        <v>17</v>
      </c>
      <c r="E185" s="21" t="s">
        <v>299</v>
      </c>
      <c r="F185" s="21" t="s">
        <v>300</v>
      </c>
      <c r="G185" s="21" t="s">
        <v>506</v>
      </c>
      <c r="H185" s="40">
        <v>7000</v>
      </c>
      <c r="I185" s="40">
        <v>0</v>
      </c>
      <c r="J185" s="40">
        <v>1144903.9</v>
      </c>
      <c r="K185" s="21"/>
    </row>
    <row r="186" ht="64.8" hidden="1" spans="1:11">
      <c r="A186" s="21" t="s">
        <v>485</v>
      </c>
      <c r="B186" s="21" t="s">
        <v>501</v>
      </c>
      <c r="C186" s="21" t="s">
        <v>298</v>
      </c>
      <c r="D186" s="21">
        <v>17</v>
      </c>
      <c r="E186" s="21" t="s">
        <v>299</v>
      </c>
      <c r="F186" s="21" t="s">
        <v>300</v>
      </c>
      <c r="G186" s="21" t="s">
        <v>507</v>
      </c>
      <c r="H186" s="40">
        <v>7547.17</v>
      </c>
      <c r="I186" s="40">
        <v>0</v>
      </c>
      <c r="J186" s="40">
        <v>1152451.07</v>
      </c>
      <c r="K186" s="21"/>
    </row>
    <row r="187" ht="43.2" hidden="1" spans="1:11">
      <c r="A187" s="21" t="s">
        <v>485</v>
      </c>
      <c r="B187" s="21" t="s">
        <v>501</v>
      </c>
      <c r="C187" s="21" t="s">
        <v>316</v>
      </c>
      <c r="D187" s="21">
        <v>1</v>
      </c>
      <c r="E187" s="21" t="s">
        <v>299</v>
      </c>
      <c r="F187" s="21" t="s">
        <v>300</v>
      </c>
      <c r="G187" s="21" t="s">
        <v>508</v>
      </c>
      <c r="H187" s="40">
        <v>825</v>
      </c>
      <c r="I187" s="40">
        <v>0</v>
      </c>
      <c r="J187" s="40">
        <v>1153276.07</v>
      </c>
      <c r="K187" s="21"/>
    </row>
    <row r="188" ht="64.8" hidden="1" spans="1:11">
      <c r="A188" s="21" t="s">
        <v>485</v>
      </c>
      <c r="B188" s="21" t="s">
        <v>509</v>
      </c>
      <c r="C188" s="21" t="s">
        <v>314</v>
      </c>
      <c r="D188" s="21">
        <v>17</v>
      </c>
      <c r="E188" s="21" t="s">
        <v>299</v>
      </c>
      <c r="F188" s="21" t="s">
        <v>300</v>
      </c>
      <c r="G188" s="21" t="s">
        <v>510</v>
      </c>
      <c r="H188" s="40">
        <v>10114.15</v>
      </c>
      <c r="I188" s="40">
        <v>0</v>
      </c>
      <c r="J188" s="40">
        <v>1163390.22</v>
      </c>
      <c r="K188" s="21"/>
    </row>
    <row r="189" ht="64.8" hidden="1" spans="1:11">
      <c r="A189" s="21" t="s">
        <v>485</v>
      </c>
      <c r="B189" s="21" t="s">
        <v>509</v>
      </c>
      <c r="C189" s="21" t="s">
        <v>314</v>
      </c>
      <c r="D189" s="21">
        <v>17</v>
      </c>
      <c r="E189" s="21" t="s">
        <v>299</v>
      </c>
      <c r="F189" s="21" t="s">
        <v>300</v>
      </c>
      <c r="G189" s="21" t="s">
        <v>511</v>
      </c>
      <c r="H189" s="40">
        <v>7075.47</v>
      </c>
      <c r="I189" s="40">
        <v>0</v>
      </c>
      <c r="J189" s="40">
        <v>1170465.69</v>
      </c>
      <c r="K189" s="21"/>
    </row>
    <row r="190" ht="64.8" hidden="1" spans="1:11">
      <c r="A190" s="21" t="s">
        <v>485</v>
      </c>
      <c r="B190" s="21" t="s">
        <v>509</v>
      </c>
      <c r="C190" s="21" t="s">
        <v>314</v>
      </c>
      <c r="D190" s="21">
        <v>17</v>
      </c>
      <c r="E190" s="21" t="s">
        <v>299</v>
      </c>
      <c r="F190" s="21" t="s">
        <v>300</v>
      </c>
      <c r="G190" s="21" t="s">
        <v>512</v>
      </c>
      <c r="H190" s="40">
        <v>386872.64</v>
      </c>
      <c r="I190" s="40">
        <v>0</v>
      </c>
      <c r="J190" s="40">
        <v>1557338.33</v>
      </c>
      <c r="K190" s="21"/>
    </row>
    <row r="191" ht="64.8" hidden="1" spans="1:11">
      <c r="A191" s="21" t="s">
        <v>485</v>
      </c>
      <c r="B191" s="21" t="s">
        <v>513</v>
      </c>
      <c r="C191" s="21" t="s">
        <v>298</v>
      </c>
      <c r="D191" s="21">
        <v>19</v>
      </c>
      <c r="E191" s="21" t="s">
        <v>299</v>
      </c>
      <c r="F191" s="21" t="s">
        <v>300</v>
      </c>
      <c r="G191" s="21" t="s">
        <v>514</v>
      </c>
      <c r="H191" s="40">
        <v>3000</v>
      </c>
      <c r="I191" s="40">
        <v>0</v>
      </c>
      <c r="J191" s="40">
        <v>1560338.33</v>
      </c>
      <c r="K191" s="21"/>
    </row>
    <row r="192" ht="97.2" hidden="1" spans="1:11">
      <c r="A192" s="21" t="s">
        <v>485</v>
      </c>
      <c r="B192" s="21" t="s">
        <v>515</v>
      </c>
      <c r="C192" s="21" t="s">
        <v>319</v>
      </c>
      <c r="D192" s="21">
        <v>7</v>
      </c>
      <c r="E192" s="21" t="s">
        <v>299</v>
      </c>
      <c r="F192" s="21" t="s">
        <v>300</v>
      </c>
      <c r="G192" s="21" t="s">
        <v>516</v>
      </c>
      <c r="H192" s="40">
        <v>0</v>
      </c>
      <c r="I192" s="40">
        <v>10997.98</v>
      </c>
      <c r="J192" s="40">
        <v>1549340.35</v>
      </c>
      <c r="K192" s="21"/>
    </row>
    <row r="193" ht="97.2" hidden="1" spans="1:11">
      <c r="A193" s="21" t="s">
        <v>485</v>
      </c>
      <c r="B193" s="21" t="s">
        <v>515</v>
      </c>
      <c r="C193" s="21" t="s">
        <v>319</v>
      </c>
      <c r="D193" s="21">
        <v>7</v>
      </c>
      <c r="E193" s="21" t="s">
        <v>299</v>
      </c>
      <c r="F193" s="21" t="s">
        <v>300</v>
      </c>
      <c r="G193" s="21" t="s">
        <v>517</v>
      </c>
      <c r="H193" s="40">
        <v>0</v>
      </c>
      <c r="I193" s="40">
        <v>2208.26</v>
      </c>
      <c r="J193" s="40">
        <v>1547132.09</v>
      </c>
      <c r="K193" s="21"/>
    </row>
    <row r="194" ht="97.2" hidden="1" spans="1:11">
      <c r="A194" s="21" t="s">
        <v>485</v>
      </c>
      <c r="B194" s="21" t="s">
        <v>515</v>
      </c>
      <c r="C194" s="21" t="s">
        <v>319</v>
      </c>
      <c r="D194" s="21">
        <v>7</v>
      </c>
      <c r="E194" s="21" t="s">
        <v>299</v>
      </c>
      <c r="F194" s="21" t="s">
        <v>300</v>
      </c>
      <c r="G194" s="21" t="s">
        <v>518</v>
      </c>
      <c r="H194" s="40">
        <v>0</v>
      </c>
      <c r="I194" s="40">
        <v>2207.98</v>
      </c>
      <c r="J194" s="40">
        <v>1544924.11</v>
      </c>
      <c r="K194" s="21"/>
    </row>
    <row r="195" ht="97.2" hidden="1" spans="1:11">
      <c r="A195" s="21" t="s">
        <v>485</v>
      </c>
      <c r="B195" s="21" t="s">
        <v>515</v>
      </c>
      <c r="C195" s="21" t="s">
        <v>319</v>
      </c>
      <c r="D195" s="21">
        <v>7</v>
      </c>
      <c r="E195" s="21" t="s">
        <v>299</v>
      </c>
      <c r="F195" s="21" t="s">
        <v>300</v>
      </c>
      <c r="G195" s="21" t="s">
        <v>519</v>
      </c>
      <c r="H195" s="40">
        <v>0</v>
      </c>
      <c r="I195" s="40">
        <v>2492.88</v>
      </c>
      <c r="J195" s="40">
        <v>1542431.23</v>
      </c>
      <c r="K195" s="21"/>
    </row>
    <row r="196" ht="97.2" hidden="1" spans="1:11">
      <c r="A196" s="21" t="s">
        <v>485</v>
      </c>
      <c r="B196" s="21" t="s">
        <v>515</v>
      </c>
      <c r="C196" s="21" t="s">
        <v>319</v>
      </c>
      <c r="D196" s="21">
        <v>7</v>
      </c>
      <c r="E196" s="21" t="s">
        <v>299</v>
      </c>
      <c r="F196" s="21" t="s">
        <v>300</v>
      </c>
      <c r="G196" s="21" t="s">
        <v>520</v>
      </c>
      <c r="H196" s="40">
        <v>0</v>
      </c>
      <c r="I196" s="40">
        <v>2136.75</v>
      </c>
      <c r="J196" s="40">
        <v>1540294.48</v>
      </c>
      <c r="K196" s="21"/>
    </row>
    <row r="197" ht="97.2" hidden="1" spans="1:11">
      <c r="A197" s="21" t="s">
        <v>485</v>
      </c>
      <c r="B197" s="21" t="s">
        <v>515</v>
      </c>
      <c r="C197" s="21" t="s">
        <v>319</v>
      </c>
      <c r="D197" s="21">
        <v>7</v>
      </c>
      <c r="E197" s="21" t="s">
        <v>299</v>
      </c>
      <c r="F197" s="21" t="s">
        <v>300</v>
      </c>
      <c r="G197" s="21" t="s">
        <v>521</v>
      </c>
      <c r="H197" s="40">
        <v>0</v>
      </c>
      <c r="I197" s="40">
        <v>2301.99</v>
      </c>
      <c r="J197" s="40">
        <v>1537992.49</v>
      </c>
      <c r="K197" s="21"/>
    </row>
    <row r="198" ht="97.2" hidden="1" spans="1:11">
      <c r="A198" s="21" t="s">
        <v>485</v>
      </c>
      <c r="B198" s="21" t="s">
        <v>515</v>
      </c>
      <c r="C198" s="21" t="s">
        <v>319</v>
      </c>
      <c r="D198" s="21">
        <v>7</v>
      </c>
      <c r="E198" s="21" t="s">
        <v>299</v>
      </c>
      <c r="F198" s="21" t="s">
        <v>300</v>
      </c>
      <c r="G198" s="21" t="s">
        <v>522</v>
      </c>
      <c r="H198" s="40">
        <v>0</v>
      </c>
      <c r="I198" s="40">
        <v>4666.81</v>
      </c>
      <c r="J198" s="40">
        <v>1533325.68</v>
      </c>
      <c r="K198" s="21"/>
    </row>
    <row r="199" ht="97.2" hidden="1" spans="1:11">
      <c r="A199" s="21" t="s">
        <v>485</v>
      </c>
      <c r="B199" s="21" t="s">
        <v>515</v>
      </c>
      <c r="C199" s="21" t="s">
        <v>319</v>
      </c>
      <c r="D199" s="21">
        <v>7</v>
      </c>
      <c r="E199" s="21" t="s">
        <v>299</v>
      </c>
      <c r="F199" s="21" t="s">
        <v>300</v>
      </c>
      <c r="G199" s="21" t="s">
        <v>523</v>
      </c>
      <c r="H199" s="40">
        <v>0</v>
      </c>
      <c r="I199" s="40">
        <v>8832.12</v>
      </c>
      <c r="J199" s="40">
        <v>1524493.56</v>
      </c>
      <c r="K199" s="21"/>
    </row>
    <row r="200" ht="97.2" hidden="1" spans="1:11">
      <c r="A200" s="21" t="s">
        <v>485</v>
      </c>
      <c r="B200" s="21" t="s">
        <v>515</v>
      </c>
      <c r="C200" s="21" t="s">
        <v>319</v>
      </c>
      <c r="D200" s="21">
        <v>7</v>
      </c>
      <c r="E200" s="21" t="s">
        <v>299</v>
      </c>
      <c r="F200" s="21" t="s">
        <v>300</v>
      </c>
      <c r="G200" s="21" t="s">
        <v>524</v>
      </c>
      <c r="H200" s="40">
        <v>0</v>
      </c>
      <c r="I200" s="40">
        <v>628.93</v>
      </c>
      <c r="J200" s="40">
        <v>1523864.63</v>
      </c>
      <c r="K200" s="21"/>
    </row>
    <row r="201" ht="97.2" hidden="1" spans="1:11">
      <c r="A201" s="21" t="s">
        <v>485</v>
      </c>
      <c r="B201" s="21" t="s">
        <v>515</v>
      </c>
      <c r="C201" s="21" t="s">
        <v>319</v>
      </c>
      <c r="D201" s="21">
        <v>7</v>
      </c>
      <c r="E201" s="21" t="s">
        <v>299</v>
      </c>
      <c r="F201" s="21" t="s">
        <v>300</v>
      </c>
      <c r="G201" s="21" t="s">
        <v>525</v>
      </c>
      <c r="H201" s="40">
        <v>0</v>
      </c>
      <c r="I201" s="40">
        <v>1257.12</v>
      </c>
      <c r="J201" s="40">
        <v>1522607.51</v>
      </c>
      <c r="K201" s="21"/>
    </row>
    <row r="202" ht="97.2" hidden="1" spans="1:11">
      <c r="A202" s="21" t="s">
        <v>485</v>
      </c>
      <c r="B202" s="21" t="s">
        <v>515</v>
      </c>
      <c r="C202" s="21" t="s">
        <v>319</v>
      </c>
      <c r="D202" s="21">
        <v>7</v>
      </c>
      <c r="E202" s="21" t="s">
        <v>299</v>
      </c>
      <c r="F202" s="21" t="s">
        <v>300</v>
      </c>
      <c r="G202" s="21" t="s">
        <v>526</v>
      </c>
      <c r="H202" s="40">
        <v>0</v>
      </c>
      <c r="I202" s="40">
        <v>779.09</v>
      </c>
      <c r="J202" s="40">
        <v>1521828.42</v>
      </c>
      <c r="K202" s="21"/>
    </row>
    <row r="203" ht="97.2" hidden="1" spans="1:11">
      <c r="A203" s="21" t="s">
        <v>485</v>
      </c>
      <c r="B203" s="21" t="s">
        <v>515</v>
      </c>
      <c r="C203" s="21" t="s">
        <v>319</v>
      </c>
      <c r="D203" s="21">
        <v>7</v>
      </c>
      <c r="E203" s="21" t="s">
        <v>299</v>
      </c>
      <c r="F203" s="21" t="s">
        <v>300</v>
      </c>
      <c r="G203" s="21" t="s">
        <v>527</v>
      </c>
      <c r="H203" s="40">
        <v>0</v>
      </c>
      <c r="I203" s="40">
        <v>1291.96</v>
      </c>
      <c r="J203" s="40">
        <v>1520536.46</v>
      </c>
      <c r="K203" s="21"/>
    </row>
    <row r="204" ht="97.2" hidden="1" spans="1:11">
      <c r="A204" s="21" t="s">
        <v>485</v>
      </c>
      <c r="B204" s="21" t="s">
        <v>515</v>
      </c>
      <c r="C204" s="21" t="s">
        <v>319</v>
      </c>
      <c r="D204" s="21">
        <v>7</v>
      </c>
      <c r="E204" s="21" t="s">
        <v>299</v>
      </c>
      <c r="F204" s="21" t="s">
        <v>300</v>
      </c>
      <c r="G204" s="21" t="s">
        <v>528</v>
      </c>
      <c r="H204" s="40">
        <v>0</v>
      </c>
      <c r="I204" s="40">
        <v>900</v>
      </c>
      <c r="J204" s="40">
        <v>1519636.46</v>
      </c>
      <c r="K204" s="21"/>
    </row>
    <row r="205" ht="97.2" hidden="1" spans="1:11">
      <c r="A205" s="21" t="s">
        <v>485</v>
      </c>
      <c r="B205" s="21" t="s">
        <v>515</v>
      </c>
      <c r="C205" s="21" t="s">
        <v>319</v>
      </c>
      <c r="D205" s="21">
        <v>7</v>
      </c>
      <c r="E205" s="21" t="s">
        <v>299</v>
      </c>
      <c r="F205" s="21" t="s">
        <v>300</v>
      </c>
      <c r="G205" s="21" t="s">
        <v>529</v>
      </c>
      <c r="H205" s="40">
        <v>0</v>
      </c>
      <c r="I205" s="40">
        <v>581.07</v>
      </c>
      <c r="J205" s="40">
        <v>1519055.39</v>
      </c>
      <c r="K205" s="21"/>
    </row>
    <row r="206" ht="97.2" hidden="1" spans="1:11">
      <c r="A206" s="21" t="s">
        <v>485</v>
      </c>
      <c r="B206" s="21" t="s">
        <v>515</v>
      </c>
      <c r="C206" s="21" t="s">
        <v>319</v>
      </c>
      <c r="D206" s="21">
        <v>7</v>
      </c>
      <c r="E206" s="21" t="s">
        <v>299</v>
      </c>
      <c r="F206" s="21" t="s">
        <v>300</v>
      </c>
      <c r="G206" s="21" t="s">
        <v>530</v>
      </c>
      <c r="H206" s="40">
        <v>0</v>
      </c>
      <c r="I206" s="40">
        <v>162</v>
      </c>
      <c r="J206" s="40">
        <v>1518893.39</v>
      </c>
      <c r="K206" s="21"/>
    </row>
    <row r="207" ht="97.2" hidden="1" spans="1:11">
      <c r="A207" s="21" t="s">
        <v>485</v>
      </c>
      <c r="B207" s="21" t="s">
        <v>515</v>
      </c>
      <c r="C207" s="21" t="s">
        <v>319</v>
      </c>
      <c r="D207" s="21">
        <v>7</v>
      </c>
      <c r="E207" s="21" t="s">
        <v>299</v>
      </c>
      <c r="F207" s="21" t="s">
        <v>300</v>
      </c>
      <c r="G207" s="21" t="s">
        <v>531</v>
      </c>
      <c r="H207" s="40">
        <v>0</v>
      </c>
      <c r="I207" s="40">
        <v>7648.98</v>
      </c>
      <c r="J207" s="40">
        <v>1511244.41</v>
      </c>
      <c r="K207" s="21"/>
    </row>
    <row r="208" ht="97.2" hidden="1" spans="1:11">
      <c r="A208" s="21" t="s">
        <v>485</v>
      </c>
      <c r="B208" s="21" t="s">
        <v>515</v>
      </c>
      <c r="C208" s="21" t="s">
        <v>319</v>
      </c>
      <c r="D208" s="21">
        <v>7</v>
      </c>
      <c r="E208" s="21" t="s">
        <v>299</v>
      </c>
      <c r="F208" s="21" t="s">
        <v>300</v>
      </c>
      <c r="G208" s="21" t="s">
        <v>532</v>
      </c>
      <c r="H208" s="40">
        <v>0</v>
      </c>
      <c r="I208" s="40">
        <v>1507.84</v>
      </c>
      <c r="J208" s="40">
        <v>1509736.57</v>
      </c>
      <c r="K208" s="21"/>
    </row>
    <row r="209" ht="97.2" hidden="1" spans="1:11">
      <c r="A209" s="21" t="s">
        <v>485</v>
      </c>
      <c r="B209" s="21" t="s">
        <v>515</v>
      </c>
      <c r="C209" s="21" t="s">
        <v>319</v>
      </c>
      <c r="D209" s="21">
        <v>11</v>
      </c>
      <c r="E209" s="21" t="s">
        <v>299</v>
      </c>
      <c r="F209" s="21" t="s">
        <v>300</v>
      </c>
      <c r="G209" s="21" t="s">
        <v>533</v>
      </c>
      <c r="H209" s="40">
        <v>0</v>
      </c>
      <c r="I209" s="40">
        <v>108190.17</v>
      </c>
      <c r="J209" s="40">
        <v>1401546.4</v>
      </c>
      <c r="K209" s="21"/>
    </row>
    <row r="210" ht="97.2" hidden="1" spans="1:11">
      <c r="A210" s="21" t="s">
        <v>485</v>
      </c>
      <c r="B210" s="21" t="s">
        <v>515</v>
      </c>
      <c r="C210" s="21" t="s">
        <v>319</v>
      </c>
      <c r="D210" s="21">
        <v>11</v>
      </c>
      <c r="E210" s="21" t="s">
        <v>299</v>
      </c>
      <c r="F210" s="21" t="s">
        <v>300</v>
      </c>
      <c r="G210" s="21" t="s">
        <v>534</v>
      </c>
      <c r="H210" s="40">
        <v>0</v>
      </c>
      <c r="I210" s="40">
        <v>2849</v>
      </c>
      <c r="J210" s="40">
        <v>1398697.4</v>
      </c>
      <c r="K210" s="21"/>
    </row>
    <row r="211" ht="97.2" hidden="1" spans="1:11">
      <c r="A211" s="21" t="s">
        <v>485</v>
      </c>
      <c r="B211" s="21" t="s">
        <v>515</v>
      </c>
      <c r="C211" s="21" t="s">
        <v>319</v>
      </c>
      <c r="D211" s="21">
        <v>11</v>
      </c>
      <c r="E211" s="21" t="s">
        <v>299</v>
      </c>
      <c r="F211" s="21" t="s">
        <v>300</v>
      </c>
      <c r="G211" s="21" t="s">
        <v>535</v>
      </c>
      <c r="H211" s="40">
        <v>0</v>
      </c>
      <c r="I211" s="40">
        <v>433.33</v>
      </c>
      <c r="J211" s="40">
        <v>1398264.07</v>
      </c>
      <c r="K211" s="21"/>
    </row>
    <row r="212" ht="97.2" hidden="1" spans="1:11">
      <c r="A212" s="21" t="s">
        <v>485</v>
      </c>
      <c r="B212" s="21" t="s">
        <v>515</v>
      </c>
      <c r="C212" s="21" t="s">
        <v>319</v>
      </c>
      <c r="D212" s="21">
        <v>11</v>
      </c>
      <c r="E212" s="21" t="s">
        <v>299</v>
      </c>
      <c r="F212" s="21" t="s">
        <v>300</v>
      </c>
      <c r="G212" s="21" t="s">
        <v>536</v>
      </c>
      <c r="H212" s="40">
        <v>0</v>
      </c>
      <c r="I212" s="40">
        <v>187.65</v>
      </c>
      <c r="J212" s="40">
        <v>1398076.42</v>
      </c>
      <c r="K212" s="21"/>
    </row>
    <row r="213" ht="97.2" hidden="1" spans="1:11">
      <c r="A213" s="21" t="s">
        <v>485</v>
      </c>
      <c r="B213" s="21" t="s">
        <v>515</v>
      </c>
      <c r="C213" s="21" t="s">
        <v>319</v>
      </c>
      <c r="D213" s="21">
        <v>11</v>
      </c>
      <c r="E213" s="21" t="s">
        <v>299</v>
      </c>
      <c r="F213" s="21" t="s">
        <v>300</v>
      </c>
      <c r="G213" s="21" t="s">
        <v>537</v>
      </c>
      <c r="H213" s="40">
        <v>0</v>
      </c>
      <c r="I213" s="40">
        <v>34473.74</v>
      </c>
      <c r="J213" s="40">
        <v>1363602.68</v>
      </c>
      <c r="K213" s="21"/>
    </row>
    <row r="214" ht="97.2" hidden="1" spans="1:11">
      <c r="A214" s="21" t="s">
        <v>485</v>
      </c>
      <c r="B214" s="21" t="s">
        <v>515</v>
      </c>
      <c r="C214" s="21" t="s">
        <v>319</v>
      </c>
      <c r="D214" s="21">
        <v>11</v>
      </c>
      <c r="E214" s="21" t="s">
        <v>299</v>
      </c>
      <c r="F214" s="21" t="s">
        <v>300</v>
      </c>
      <c r="G214" s="21" t="s">
        <v>538</v>
      </c>
      <c r="H214" s="40">
        <v>0</v>
      </c>
      <c r="I214" s="40">
        <v>4455.85</v>
      </c>
      <c r="J214" s="40">
        <v>1359146.83</v>
      </c>
      <c r="K214" s="21"/>
    </row>
    <row r="215" ht="97.2" hidden="1" spans="1:11">
      <c r="A215" s="21" t="s">
        <v>485</v>
      </c>
      <c r="B215" s="21" t="s">
        <v>515</v>
      </c>
      <c r="C215" s="21" t="s">
        <v>319</v>
      </c>
      <c r="D215" s="21">
        <v>11</v>
      </c>
      <c r="E215" s="21" t="s">
        <v>299</v>
      </c>
      <c r="F215" s="21" t="s">
        <v>300</v>
      </c>
      <c r="G215" s="21" t="s">
        <v>539</v>
      </c>
      <c r="H215" s="40">
        <v>0</v>
      </c>
      <c r="I215" s="40">
        <v>2908.81</v>
      </c>
      <c r="J215" s="40">
        <v>1356238.02</v>
      </c>
      <c r="K215" s="21"/>
    </row>
    <row r="216" ht="97.2" hidden="1" spans="1:11">
      <c r="A216" s="21" t="s">
        <v>485</v>
      </c>
      <c r="B216" s="21" t="s">
        <v>515</v>
      </c>
      <c r="C216" s="21" t="s">
        <v>319</v>
      </c>
      <c r="D216" s="21">
        <v>11</v>
      </c>
      <c r="E216" s="21" t="s">
        <v>299</v>
      </c>
      <c r="F216" s="21" t="s">
        <v>300</v>
      </c>
      <c r="G216" s="21" t="s">
        <v>540</v>
      </c>
      <c r="H216" s="40">
        <v>0</v>
      </c>
      <c r="I216" s="40">
        <v>609.33</v>
      </c>
      <c r="J216" s="40">
        <v>1355628.69</v>
      </c>
      <c r="K216" s="21"/>
    </row>
    <row r="217" ht="97.2" hidden="1" spans="1:11">
      <c r="A217" s="21" t="s">
        <v>485</v>
      </c>
      <c r="B217" s="21" t="s">
        <v>515</v>
      </c>
      <c r="C217" s="21" t="s">
        <v>319</v>
      </c>
      <c r="D217" s="21">
        <v>11</v>
      </c>
      <c r="E217" s="21" t="s">
        <v>299</v>
      </c>
      <c r="F217" s="21" t="s">
        <v>300</v>
      </c>
      <c r="G217" s="21" t="s">
        <v>541</v>
      </c>
      <c r="H217" s="40">
        <v>0</v>
      </c>
      <c r="I217" s="40">
        <v>1433.33</v>
      </c>
      <c r="J217" s="40">
        <v>1354195.36</v>
      </c>
      <c r="K217" s="21"/>
    </row>
    <row r="218" ht="97.2" hidden="1" spans="1:11">
      <c r="A218" s="21" t="s">
        <v>485</v>
      </c>
      <c r="B218" s="21" t="s">
        <v>515</v>
      </c>
      <c r="C218" s="21" t="s">
        <v>319</v>
      </c>
      <c r="D218" s="21">
        <v>11</v>
      </c>
      <c r="E218" s="21" t="s">
        <v>299</v>
      </c>
      <c r="F218" s="21" t="s">
        <v>300</v>
      </c>
      <c r="G218" s="21" t="s">
        <v>542</v>
      </c>
      <c r="H218" s="40">
        <v>0</v>
      </c>
      <c r="I218" s="40">
        <v>2358.49</v>
      </c>
      <c r="J218" s="40">
        <v>1351836.87</v>
      </c>
      <c r="K218" s="21"/>
    </row>
    <row r="219" ht="97.2" hidden="1" spans="1:11">
      <c r="A219" s="21" t="s">
        <v>485</v>
      </c>
      <c r="B219" s="21" t="s">
        <v>515</v>
      </c>
      <c r="C219" s="21" t="s">
        <v>319</v>
      </c>
      <c r="D219" s="21">
        <v>11</v>
      </c>
      <c r="E219" s="21" t="s">
        <v>299</v>
      </c>
      <c r="F219" s="21" t="s">
        <v>300</v>
      </c>
      <c r="G219" s="21" t="s">
        <v>543</v>
      </c>
      <c r="H219" s="40">
        <v>0</v>
      </c>
      <c r="I219" s="40">
        <v>289.08</v>
      </c>
      <c r="J219" s="40">
        <v>1351547.79</v>
      </c>
      <c r="K219" s="21"/>
    </row>
    <row r="220" ht="97.2" hidden="1" spans="1:11">
      <c r="A220" s="21" t="s">
        <v>485</v>
      </c>
      <c r="B220" s="21" t="s">
        <v>515</v>
      </c>
      <c r="C220" s="21" t="s">
        <v>319</v>
      </c>
      <c r="D220" s="21">
        <v>11</v>
      </c>
      <c r="E220" s="21" t="s">
        <v>299</v>
      </c>
      <c r="F220" s="21" t="s">
        <v>300</v>
      </c>
      <c r="G220" s="21" t="s">
        <v>544</v>
      </c>
      <c r="H220" s="40">
        <v>0</v>
      </c>
      <c r="I220" s="40">
        <v>6261.39</v>
      </c>
      <c r="J220" s="40">
        <v>1345286.4</v>
      </c>
      <c r="K220" s="21"/>
    </row>
    <row r="221" ht="97.2" hidden="1" spans="1:11">
      <c r="A221" s="21" t="s">
        <v>485</v>
      </c>
      <c r="B221" s="21" t="s">
        <v>515</v>
      </c>
      <c r="C221" s="21" t="s">
        <v>319</v>
      </c>
      <c r="D221" s="21">
        <v>11</v>
      </c>
      <c r="E221" s="21" t="s">
        <v>299</v>
      </c>
      <c r="F221" s="21" t="s">
        <v>300</v>
      </c>
      <c r="G221" s="21" t="s">
        <v>545</v>
      </c>
      <c r="H221" s="40">
        <v>0</v>
      </c>
      <c r="I221" s="40">
        <v>800</v>
      </c>
      <c r="J221" s="40">
        <v>1344486.4</v>
      </c>
      <c r="K221" s="21"/>
    </row>
    <row r="222" ht="97.2" hidden="1" spans="1:11">
      <c r="A222" s="21" t="s">
        <v>485</v>
      </c>
      <c r="B222" s="21" t="s">
        <v>515</v>
      </c>
      <c r="C222" s="21" t="s">
        <v>319</v>
      </c>
      <c r="D222" s="21">
        <v>11</v>
      </c>
      <c r="E222" s="21" t="s">
        <v>299</v>
      </c>
      <c r="F222" s="21" t="s">
        <v>300</v>
      </c>
      <c r="G222" s="21" t="s">
        <v>546</v>
      </c>
      <c r="H222" s="40">
        <v>0</v>
      </c>
      <c r="I222" s="40">
        <v>5396.22</v>
      </c>
      <c r="J222" s="40">
        <v>1339090.18</v>
      </c>
      <c r="K222" s="21"/>
    </row>
    <row r="223" ht="97.2" hidden="1" spans="1:11">
      <c r="A223" s="21" t="s">
        <v>485</v>
      </c>
      <c r="B223" s="21" t="s">
        <v>515</v>
      </c>
      <c r="C223" s="21" t="s">
        <v>319</v>
      </c>
      <c r="D223" s="21">
        <v>11</v>
      </c>
      <c r="E223" s="21" t="s">
        <v>299</v>
      </c>
      <c r="F223" s="21" t="s">
        <v>300</v>
      </c>
      <c r="G223" s="21" t="s">
        <v>547</v>
      </c>
      <c r="H223" s="40">
        <v>0</v>
      </c>
      <c r="I223" s="40">
        <v>664.84</v>
      </c>
      <c r="J223" s="40">
        <v>1338425.34</v>
      </c>
      <c r="K223" s="21"/>
    </row>
    <row r="224" ht="97.2" hidden="1" spans="1:11">
      <c r="A224" s="21" t="s">
        <v>485</v>
      </c>
      <c r="B224" s="21" t="s">
        <v>515</v>
      </c>
      <c r="C224" s="21" t="s">
        <v>319</v>
      </c>
      <c r="D224" s="21">
        <v>11</v>
      </c>
      <c r="E224" s="21" t="s">
        <v>299</v>
      </c>
      <c r="F224" s="21" t="s">
        <v>300</v>
      </c>
      <c r="G224" s="21" t="s">
        <v>548</v>
      </c>
      <c r="H224" s="40">
        <v>0</v>
      </c>
      <c r="I224" s="40">
        <v>1000</v>
      </c>
      <c r="J224" s="40">
        <v>1337425.34</v>
      </c>
      <c r="K224" s="21"/>
    </row>
    <row r="225" ht="97.2" hidden="1" spans="1:11">
      <c r="A225" s="21" t="s">
        <v>485</v>
      </c>
      <c r="B225" s="21" t="s">
        <v>515</v>
      </c>
      <c r="C225" s="21" t="s">
        <v>319</v>
      </c>
      <c r="D225" s="21">
        <v>11</v>
      </c>
      <c r="E225" s="21" t="s">
        <v>299</v>
      </c>
      <c r="F225" s="21" t="s">
        <v>300</v>
      </c>
      <c r="G225" s="21" t="s">
        <v>460</v>
      </c>
      <c r="H225" s="40">
        <v>0</v>
      </c>
      <c r="I225" s="40">
        <v>291</v>
      </c>
      <c r="J225" s="40">
        <v>1337134.34</v>
      </c>
      <c r="K225" s="21"/>
    </row>
    <row r="226" ht="97.2" hidden="1" spans="1:11">
      <c r="A226" s="21" t="s">
        <v>485</v>
      </c>
      <c r="B226" s="21" t="s">
        <v>515</v>
      </c>
      <c r="C226" s="21" t="s">
        <v>319</v>
      </c>
      <c r="D226" s="21">
        <v>11</v>
      </c>
      <c r="E226" s="21" t="s">
        <v>299</v>
      </c>
      <c r="F226" s="21" t="s">
        <v>300</v>
      </c>
      <c r="G226" s="21" t="s">
        <v>549</v>
      </c>
      <c r="H226" s="40">
        <v>0</v>
      </c>
      <c r="I226" s="40">
        <v>1779.94</v>
      </c>
      <c r="J226" s="40">
        <v>1335354.4</v>
      </c>
      <c r="K226" s="21"/>
    </row>
    <row r="227" ht="97.2" hidden="1" spans="1:11">
      <c r="A227" s="21" t="s">
        <v>485</v>
      </c>
      <c r="B227" s="21" t="s">
        <v>515</v>
      </c>
      <c r="C227" s="21" t="s">
        <v>319</v>
      </c>
      <c r="D227" s="21">
        <v>11</v>
      </c>
      <c r="E227" s="21" t="s">
        <v>299</v>
      </c>
      <c r="F227" s="21" t="s">
        <v>300</v>
      </c>
      <c r="G227" s="21" t="s">
        <v>550</v>
      </c>
      <c r="H227" s="40">
        <v>0</v>
      </c>
      <c r="I227" s="40">
        <v>6432.25</v>
      </c>
      <c r="J227" s="40">
        <v>1328922.15</v>
      </c>
      <c r="K227" s="21"/>
    </row>
    <row r="228" ht="97.2" hidden="1" spans="1:11">
      <c r="A228" s="21" t="s">
        <v>485</v>
      </c>
      <c r="B228" s="21" t="s">
        <v>515</v>
      </c>
      <c r="C228" s="21" t="s">
        <v>319</v>
      </c>
      <c r="D228" s="21">
        <v>11</v>
      </c>
      <c r="E228" s="21" t="s">
        <v>299</v>
      </c>
      <c r="F228" s="21" t="s">
        <v>300</v>
      </c>
      <c r="G228" s="21" t="s">
        <v>415</v>
      </c>
      <c r="H228" s="40">
        <v>0</v>
      </c>
      <c r="I228" s="40">
        <v>807.86</v>
      </c>
      <c r="J228" s="40">
        <v>1328114.29</v>
      </c>
      <c r="K228" s="21"/>
    </row>
    <row r="229" ht="97.2" hidden="1" spans="1:11">
      <c r="A229" s="21" t="s">
        <v>485</v>
      </c>
      <c r="B229" s="21" t="s">
        <v>515</v>
      </c>
      <c r="C229" s="21" t="s">
        <v>319</v>
      </c>
      <c r="D229" s="21">
        <v>11</v>
      </c>
      <c r="E229" s="21" t="s">
        <v>299</v>
      </c>
      <c r="F229" s="21" t="s">
        <v>300</v>
      </c>
      <c r="G229" s="21" t="s">
        <v>551</v>
      </c>
      <c r="H229" s="40">
        <v>0</v>
      </c>
      <c r="I229" s="40">
        <v>7860</v>
      </c>
      <c r="J229" s="40">
        <v>1320254.29</v>
      </c>
      <c r="K229" s="21"/>
    </row>
    <row r="230" ht="97.2" hidden="1" spans="1:11">
      <c r="A230" s="21" t="s">
        <v>485</v>
      </c>
      <c r="B230" s="21" t="s">
        <v>515</v>
      </c>
      <c r="C230" s="21" t="s">
        <v>319</v>
      </c>
      <c r="D230" s="21">
        <v>11</v>
      </c>
      <c r="E230" s="21" t="s">
        <v>299</v>
      </c>
      <c r="F230" s="21" t="s">
        <v>300</v>
      </c>
      <c r="G230" s="21" t="s">
        <v>552</v>
      </c>
      <c r="H230" s="40">
        <v>0</v>
      </c>
      <c r="I230" s="40">
        <v>760</v>
      </c>
      <c r="J230" s="40">
        <v>1319494.29</v>
      </c>
      <c r="K230" s="21"/>
    </row>
    <row r="231" ht="97.2" hidden="1" spans="1:11">
      <c r="A231" s="21" t="s">
        <v>485</v>
      </c>
      <c r="B231" s="21" t="s">
        <v>515</v>
      </c>
      <c r="C231" s="21" t="s">
        <v>319</v>
      </c>
      <c r="D231" s="21">
        <v>11</v>
      </c>
      <c r="E231" s="21" t="s">
        <v>299</v>
      </c>
      <c r="F231" s="21" t="s">
        <v>300</v>
      </c>
      <c r="G231" s="21" t="s">
        <v>553</v>
      </c>
      <c r="H231" s="40">
        <v>0</v>
      </c>
      <c r="I231" s="40">
        <v>1667</v>
      </c>
      <c r="J231" s="40">
        <v>1317827.29</v>
      </c>
      <c r="K231" s="21"/>
    </row>
    <row r="232" ht="97.2" hidden="1" spans="1:11">
      <c r="A232" s="21" t="s">
        <v>485</v>
      </c>
      <c r="B232" s="21" t="s">
        <v>515</v>
      </c>
      <c r="C232" s="21" t="s">
        <v>319</v>
      </c>
      <c r="D232" s="21">
        <v>11</v>
      </c>
      <c r="E232" s="21" t="s">
        <v>299</v>
      </c>
      <c r="F232" s="21" t="s">
        <v>300</v>
      </c>
      <c r="G232" s="21" t="s">
        <v>554</v>
      </c>
      <c r="H232" s="40">
        <v>0</v>
      </c>
      <c r="I232" s="40">
        <v>4127.88</v>
      </c>
      <c r="J232" s="40">
        <v>1313699.41</v>
      </c>
      <c r="K232" s="21"/>
    </row>
    <row r="233" ht="97.2" hidden="1" spans="1:11">
      <c r="A233" s="21" t="s">
        <v>485</v>
      </c>
      <c r="B233" s="21" t="s">
        <v>515</v>
      </c>
      <c r="C233" s="21" t="s">
        <v>319</v>
      </c>
      <c r="D233" s="21">
        <v>11</v>
      </c>
      <c r="E233" s="21" t="s">
        <v>299</v>
      </c>
      <c r="F233" s="21" t="s">
        <v>300</v>
      </c>
      <c r="G233" s="21" t="s">
        <v>555</v>
      </c>
      <c r="H233" s="40">
        <v>0</v>
      </c>
      <c r="I233" s="40">
        <v>1025</v>
      </c>
      <c r="J233" s="40">
        <v>1312674.41</v>
      </c>
      <c r="K233" s="21"/>
    </row>
    <row r="234" ht="97.2" hidden="1" spans="1:11">
      <c r="A234" s="21" t="s">
        <v>485</v>
      </c>
      <c r="B234" s="21" t="s">
        <v>515</v>
      </c>
      <c r="C234" s="21" t="s">
        <v>319</v>
      </c>
      <c r="D234" s="21">
        <v>11</v>
      </c>
      <c r="E234" s="21" t="s">
        <v>299</v>
      </c>
      <c r="F234" s="21" t="s">
        <v>300</v>
      </c>
      <c r="G234" s="21" t="s">
        <v>556</v>
      </c>
      <c r="H234" s="40">
        <v>0</v>
      </c>
      <c r="I234" s="40">
        <v>2350</v>
      </c>
      <c r="J234" s="40">
        <v>1310324.41</v>
      </c>
      <c r="K234" s="21"/>
    </row>
    <row r="235" ht="97.2" hidden="1" spans="1:11">
      <c r="A235" s="21" t="s">
        <v>485</v>
      </c>
      <c r="B235" s="21" t="s">
        <v>515</v>
      </c>
      <c r="C235" s="21" t="s">
        <v>319</v>
      </c>
      <c r="D235" s="21">
        <v>11</v>
      </c>
      <c r="E235" s="21" t="s">
        <v>299</v>
      </c>
      <c r="F235" s="21" t="s">
        <v>300</v>
      </c>
      <c r="G235" s="21" t="s">
        <v>472</v>
      </c>
      <c r="H235" s="40">
        <v>0</v>
      </c>
      <c r="I235" s="40">
        <v>907</v>
      </c>
      <c r="J235" s="40">
        <v>1309417.41</v>
      </c>
      <c r="K235" s="21"/>
    </row>
    <row r="236" ht="97.2" hidden="1" spans="1:11">
      <c r="A236" s="21" t="s">
        <v>485</v>
      </c>
      <c r="B236" s="21" t="s">
        <v>515</v>
      </c>
      <c r="C236" s="21" t="s">
        <v>319</v>
      </c>
      <c r="D236" s="21">
        <v>11</v>
      </c>
      <c r="E236" s="21" t="s">
        <v>299</v>
      </c>
      <c r="F236" s="21" t="s">
        <v>300</v>
      </c>
      <c r="G236" s="21" t="s">
        <v>473</v>
      </c>
      <c r="H236" s="40">
        <v>0</v>
      </c>
      <c r="I236" s="40">
        <v>5847.83</v>
      </c>
      <c r="J236" s="40">
        <v>1303569.58</v>
      </c>
      <c r="K236" s="21"/>
    </row>
    <row r="237" ht="97.2" hidden="1" spans="1:11">
      <c r="A237" s="21" t="s">
        <v>485</v>
      </c>
      <c r="B237" s="21" t="s">
        <v>515</v>
      </c>
      <c r="C237" s="21" t="s">
        <v>319</v>
      </c>
      <c r="D237" s="21">
        <v>11</v>
      </c>
      <c r="E237" s="21" t="s">
        <v>299</v>
      </c>
      <c r="F237" s="21" t="s">
        <v>300</v>
      </c>
      <c r="G237" s="21" t="s">
        <v>557</v>
      </c>
      <c r="H237" s="40">
        <v>0</v>
      </c>
      <c r="I237" s="40">
        <v>13664</v>
      </c>
      <c r="J237" s="40">
        <v>1289905.58</v>
      </c>
      <c r="K237" s="21"/>
    </row>
    <row r="238" ht="97.2" hidden="1" spans="1:11">
      <c r="A238" s="21" t="s">
        <v>485</v>
      </c>
      <c r="B238" s="21" t="s">
        <v>515</v>
      </c>
      <c r="C238" s="21" t="s">
        <v>319</v>
      </c>
      <c r="D238" s="21">
        <v>11</v>
      </c>
      <c r="E238" s="21" t="s">
        <v>299</v>
      </c>
      <c r="F238" s="21" t="s">
        <v>300</v>
      </c>
      <c r="G238" s="21" t="s">
        <v>558</v>
      </c>
      <c r="H238" s="40">
        <v>0</v>
      </c>
      <c r="I238" s="40">
        <v>893.55</v>
      </c>
      <c r="J238" s="40">
        <v>1289012.03</v>
      </c>
      <c r="K238" s="21"/>
    </row>
    <row r="239" ht="97.2" hidden="1" spans="1:11">
      <c r="A239" s="21" t="s">
        <v>485</v>
      </c>
      <c r="B239" s="21" t="s">
        <v>515</v>
      </c>
      <c r="C239" s="21" t="s">
        <v>319</v>
      </c>
      <c r="D239" s="21">
        <v>11</v>
      </c>
      <c r="E239" s="21" t="s">
        <v>299</v>
      </c>
      <c r="F239" s="21" t="s">
        <v>300</v>
      </c>
      <c r="G239" s="21" t="s">
        <v>559</v>
      </c>
      <c r="H239" s="40">
        <v>0</v>
      </c>
      <c r="I239" s="40">
        <v>1973.59</v>
      </c>
      <c r="J239" s="40">
        <v>1287038.44</v>
      </c>
      <c r="K239" s="21"/>
    </row>
    <row r="240" ht="97.2" hidden="1" spans="1:11">
      <c r="A240" s="21" t="s">
        <v>485</v>
      </c>
      <c r="B240" s="21" t="s">
        <v>515</v>
      </c>
      <c r="C240" s="21" t="s">
        <v>319</v>
      </c>
      <c r="D240" s="21">
        <v>11</v>
      </c>
      <c r="E240" s="21" t="s">
        <v>299</v>
      </c>
      <c r="F240" s="21" t="s">
        <v>300</v>
      </c>
      <c r="G240" s="21" t="s">
        <v>560</v>
      </c>
      <c r="H240" s="40">
        <v>0</v>
      </c>
      <c r="I240" s="40">
        <v>3282.4</v>
      </c>
      <c r="J240" s="40">
        <v>1283756.04</v>
      </c>
      <c r="K240" s="21"/>
    </row>
    <row r="241" ht="97.2" hidden="1" spans="1:11">
      <c r="A241" s="21" t="s">
        <v>485</v>
      </c>
      <c r="B241" s="21" t="s">
        <v>515</v>
      </c>
      <c r="C241" s="21" t="s">
        <v>319</v>
      </c>
      <c r="D241" s="21">
        <v>11</v>
      </c>
      <c r="E241" s="21" t="s">
        <v>299</v>
      </c>
      <c r="F241" s="21" t="s">
        <v>300</v>
      </c>
      <c r="G241" s="21" t="s">
        <v>561</v>
      </c>
      <c r="H241" s="40">
        <v>0</v>
      </c>
      <c r="I241" s="40">
        <v>1719.95</v>
      </c>
      <c r="J241" s="40">
        <v>1282036.09</v>
      </c>
      <c r="K241" s="21"/>
    </row>
    <row r="242" ht="97.2" hidden="1" spans="1:11">
      <c r="A242" s="21" t="s">
        <v>485</v>
      </c>
      <c r="B242" s="21" t="s">
        <v>515</v>
      </c>
      <c r="C242" s="21" t="s">
        <v>319</v>
      </c>
      <c r="D242" s="21">
        <v>11</v>
      </c>
      <c r="E242" s="21" t="s">
        <v>299</v>
      </c>
      <c r="F242" s="21" t="s">
        <v>300</v>
      </c>
      <c r="G242" s="21" t="s">
        <v>562</v>
      </c>
      <c r="H242" s="40">
        <v>0</v>
      </c>
      <c r="I242" s="40">
        <v>1275</v>
      </c>
      <c r="J242" s="40">
        <v>1280761.09</v>
      </c>
      <c r="K242" s="21"/>
    </row>
    <row r="243" ht="97.2" hidden="1" spans="1:11">
      <c r="A243" s="21" t="s">
        <v>485</v>
      </c>
      <c r="B243" s="21" t="s">
        <v>515</v>
      </c>
      <c r="C243" s="21" t="s">
        <v>319</v>
      </c>
      <c r="D243" s="21">
        <v>11</v>
      </c>
      <c r="E243" s="21" t="s">
        <v>299</v>
      </c>
      <c r="F243" s="21" t="s">
        <v>300</v>
      </c>
      <c r="G243" s="21" t="s">
        <v>563</v>
      </c>
      <c r="H243" s="40">
        <v>0</v>
      </c>
      <c r="I243" s="40">
        <v>2400</v>
      </c>
      <c r="J243" s="40">
        <v>1278361.09</v>
      </c>
      <c r="K243" s="21"/>
    </row>
    <row r="244" ht="97.2" hidden="1" spans="1:11">
      <c r="A244" s="21" t="s">
        <v>485</v>
      </c>
      <c r="B244" s="21" t="s">
        <v>515</v>
      </c>
      <c r="C244" s="21" t="s">
        <v>319</v>
      </c>
      <c r="D244" s="21">
        <v>11</v>
      </c>
      <c r="E244" s="21" t="s">
        <v>299</v>
      </c>
      <c r="F244" s="21" t="s">
        <v>300</v>
      </c>
      <c r="G244" s="21" t="s">
        <v>564</v>
      </c>
      <c r="H244" s="40">
        <v>0</v>
      </c>
      <c r="I244" s="40">
        <v>583</v>
      </c>
      <c r="J244" s="40">
        <v>1277778.09</v>
      </c>
      <c r="K244" s="21"/>
    </row>
    <row r="245" ht="97.2" hidden="1" spans="1:11">
      <c r="A245" s="21" t="s">
        <v>485</v>
      </c>
      <c r="B245" s="21" t="s">
        <v>515</v>
      </c>
      <c r="C245" s="21" t="s">
        <v>319</v>
      </c>
      <c r="D245" s="21">
        <v>11</v>
      </c>
      <c r="E245" s="21" t="s">
        <v>299</v>
      </c>
      <c r="F245" s="21" t="s">
        <v>300</v>
      </c>
      <c r="G245" s="21" t="s">
        <v>565</v>
      </c>
      <c r="H245" s="40">
        <v>0</v>
      </c>
      <c r="I245" s="40">
        <v>1123.79</v>
      </c>
      <c r="J245" s="40">
        <v>1276654.3</v>
      </c>
      <c r="K245" s="21"/>
    </row>
    <row r="246" ht="97.2" hidden="1" spans="1:11">
      <c r="A246" s="21" t="s">
        <v>485</v>
      </c>
      <c r="B246" s="21" t="s">
        <v>515</v>
      </c>
      <c r="C246" s="21" t="s">
        <v>319</v>
      </c>
      <c r="D246" s="21">
        <v>11</v>
      </c>
      <c r="E246" s="21" t="s">
        <v>299</v>
      </c>
      <c r="F246" s="21" t="s">
        <v>300</v>
      </c>
      <c r="G246" s="21" t="s">
        <v>566</v>
      </c>
      <c r="H246" s="40">
        <v>0</v>
      </c>
      <c r="I246" s="40">
        <v>786.16</v>
      </c>
      <c r="J246" s="40">
        <v>1275868.14</v>
      </c>
      <c r="K246" s="21"/>
    </row>
    <row r="247" ht="97.2" hidden="1" spans="1:11">
      <c r="A247" s="21" t="s">
        <v>485</v>
      </c>
      <c r="B247" s="21" t="s">
        <v>515</v>
      </c>
      <c r="C247" s="21" t="s">
        <v>319</v>
      </c>
      <c r="D247" s="21">
        <v>11</v>
      </c>
      <c r="E247" s="21" t="s">
        <v>299</v>
      </c>
      <c r="F247" s="21" t="s">
        <v>300</v>
      </c>
      <c r="G247" s="21" t="s">
        <v>567</v>
      </c>
      <c r="H247" s="40">
        <v>0</v>
      </c>
      <c r="I247" s="40">
        <v>500</v>
      </c>
      <c r="J247" s="40">
        <v>1275368.14</v>
      </c>
      <c r="K247" s="21"/>
    </row>
    <row r="248" ht="97.2" hidden="1" spans="1:11">
      <c r="A248" s="21" t="s">
        <v>485</v>
      </c>
      <c r="B248" s="21" t="s">
        <v>515</v>
      </c>
      <c r="C248" s="21" t="s">
        <v>319</v>
      </c>
      <c r="D248" s="21">
        <v>11</v>
      </c>
      <c r="E248" s="21" t="s">
        <v>299</v>
      </c>
      <c r="F248" s="21" t="s">
        <v>300</v>
      </c>
      <c r="G248" s="21" t="s">
        <v>568</v>
      </c>
      <c r="H248" s="40">
        <v>1282</v>
      </c>
      <c r="I248" s="40">
        <v>0</v>
      </c>
      <c r="J248" s="40">
        <v>1276650.14</v>
      </c>
      <c r="K248" s="21"/>
    </row>
    <row r="249" ht="97.2" hidden="1" spans="1:11">
      <c r="A249" s="21" t="s">
        <v>485</v>
      </c>
      <c r="B249" s="21" t="s">
        <v>515</v>
      </c>
      <c r="C249" s="21" t="s">
        <v>319</v>
      </c>
      <c r="D249" s="21">
        <v>15</v>
      </c>
      <c r="E249" s="21" t="s">
        <v>299</v>
      </c>
      <c r="F249" s="21" t="s">
        <v>300</v>
      </c>
      <c r="G249" s="21" t="s">
        <v>569</v>
      </c>
      <c r="H249" s="40">
        <v>0</v>
      </c>
      <c r="I249" s="40">
        <v>825</v>
      </c>
      <c r="J249" s="40">
        <v>1275825.14</v>
      </c>
      <c r="K249" s="21"/>
    </row>
    <row r="250" ht="21.6" hidden="1" spans="1:11">
      <c r="A250" s="21" t="s">
        <v>485</v>
      </c>
      <c r="B250" s="21"/>
      <c r="C250" s="21"/>
      <c r="D250" s="21"/>
      <c r="E250" s="21"/>
      <c r="F250" s="21"/>
      <c r="G250" s="21" t="s">
        <v>361</v>
      </c>
      <c r="H250" s="40">
        <v>950498.88</v>
      </c>
      <c r="I250" s="40">
        <v>286155.44</v>
      </c>
      <c r="J250" s="40">
        <v>1275825.14</v>
      </c>
      <c r="K250" s="21"/>
    </row>
    <row r="251" ht="21.6" hidden="1" spans="1:11">
      <c r="A251" s="21" t="s">
        <v>485</v>
      </c>
      <c r="B251" s="21"/>
      <c r="C251" s="21"/>
      <c r="D251" s="21"/>
      <c r="E251" s="21"/>
      <c r="F251" s="21"/>
      <c r="G251" s="21" t="s">
        <v>362</v>
      </c>
      <c r="H251" s="40">
        <v>1417658.52</v>
      </c>
      <c r="I251" s="40">
        <v>724500.55</v>
      </c>
      <c r="J251" s="40">
        <v>1275825.14</v>
      </c>
      <c r="K251" s="21"/>
    </row>
    <row r="252" ht="21.6" hidden="1" spans="1:11">
      <c r="A252" s="21" t="s">
        <v>570</v>
      </c>
      <c r="B252" s="21"/>
      <c r="C252" s="21"/>
      <c r="D252" s="21"/>
      <c r="E252" s="21"/>
      <c r="F252" s="21"/>
      <c r="G252" s="21" t="s">
        <v>296</v>
      </c>
      <c r="H252" s="21"/>
      <c r="I252" s="21"/>
      <c r="J252" s="40">
        <v>1275825.14</v>
      </c>
      <c r="K252" s="21"/>
    </row>
    <row r="253" ht="64.8" hidden="1" spans="1:11">
      <c r="A253" s="21" t="s">
        <v>570</v>
      </c>
      <c r="B253" s="21" t="s">
        <v>571</v>
      </c>
      <c r="C253" s="21" t="s">
        <v>298</v>
      </c>
      <c r="D253" s="21">
        <v>11</v>
      </c>
      <c r="E253" s="21" t="s">
        <v>299</v>
      </c>
      <c r="F253" s="21" t="s">
        <v>300</v>
      </c>
      <c r="G253" s="21" t="s">
        <v>572</v>
      </c>
      <c r="H253" s="40">
        <v>30990.29</v>
      </c>
      <c r="I253" s="40">
        <v>0</v>
      </c>
      <c r="J253" s="40">
        <v>1306815.43</v>
      </c>
      <c r="K253" s="21"/>
    </row>
    <row r="254" ht="64.8" hidden="1" spans="1:11">
      <c r="A254" s="21" t="s">
        <v>570</v>
      </c>
      <c r="B254" s="21" t="s">
        <v>573</v>
      </c>
      <c r="C254" s="21" t="s">
        <v>298</v>
      </c>
      <c r="D254" s="21">
        <v>12</v>
      </c>
      <c r="E254" s="21" t="s">
        <v>299</v>
      </c>
      <c r="F254" s="21" t="s">
        <v>300</v>
      </c>
      <c r="G254" s="21" t="s">
        <v>574</v>
      </c>
      <c r="H254" s="40">
        <v>4276.73</v>
      </c>
      <c r="I254" s="40">
        <v>0</v>
      </c>
      <c r="J254" s="40">
        <v>1311092.16</v>
      </c>
      <c r="K254" s="21"/>
    </row>
    <row r="255" ht="64.8" hidden="1" spans="1:11">
      <c r="A255" s="21" t="s">
        <v>570</v>
      </c>
      <c r="B255" s="21" t="s">
        <v>575</v>
      </c>
      <c r="C255" s="21" t="s">
        <v>298</v>
      </c>
      <c r="D255" s="21">
        <v>14</v>
      </c>
      <c r="E255" s="21" t="s">
        <v>299</v>
      </c>
      <c r="F255" s="21" t="s">
        <v>300</v>
      </c>
      <c r="G255" s="21" t="s">
        <v>576</v>
      </c>
      <c r="H255" s="40">
        <v>1200</v>
      </c>
      <c r="I255" s="40">
        <v>0</v>
      </c>
      <c r="J255" s="40">
        <v>1312292.16</v>
      </c>
      <c r="K255" s="21"/>
    </row>
    <row r="256" ht="64.8" hidden="1" spans="1:11">
      <c r="A256" s="21" t="s">
        <v>570</v>
      </c>
      <c r="B256" s="21" t="s">
        <v>575</v>
      </c>
      <c r="C256" s="21" t="s">
        <v>298</v>
      </c>
      <c r="D256" s="21">
        <v>14</v>
      </c>
      <c r="E256" s="21" t="s">
        <v>299</v>
      </c>
      <c r="F256" s="21" t="s">
        <v>300</v>
      </c>
      <c r="G256" s="21" t="s">
        <v>577</v>
      </c>
      <c r="H256" s="40">
        <v>8448</v>
      </c>
      <c r="I256" s="40">
        <v>0</v>
      </c>
      <c r="J256" s="40">
        <v>1320740.16</v>
      </c>
      <c r="K256" s="21"/>
    </row>
    <row r="257" ht="64.8" hidden="1" spans="1:11">
      <c r="A257" s="21" t="s">
        <v>570</v>
      </c>
      <c r="B257" s="21" t="s">
        <v>575</v>
      </c>
      <c r="C257" s="21" t="s">
        <v>298</v>
      </c>
      <c r="D257" s="21">
        <v>14</v>
      </c>
      <c r="E257" s="21" t="s">
        <v>299</v>
      </c>
      <c r="F257" s="21" t="s">
        <v>300</v>
      </c>
      <c r="G257" s="21" t="s">
        <v>578</v>
      </c>
      <c r="H257" s="40">
        <v>750</v>
      </c>
      <c r="I257" s="40">
        <v>0</v>
      </c>
      <c r="J257" s="40">
        <v>1321490.16</v>
      </c>
      <c r="K257" s="21"/>
    </row>
    <row r="258" ht="64.8" hidden="1" spans="1:11">
      <c r="A258" s="21" t="s">
        <v>570</v>
      </c>
      <c r="B258" s="21" t="s">
        <v>579</v>
      </c>
      <c r="C258" s="21" t="s">
        <v>314</v>
      </c>
      <c r="D258" s="21">
        <v>17</v>
      </c>
      <c r="E258" s="21" t="s">
        <v>299</v>
      </c>
      <c r="F258" s="21" t="s">
        <v>300</v>
      </c>
      <c r="G258" s="21" t="s">
        <v>580</v>
      </c>
      <c r="H258" s="40">
        <v>30061.36</v>
      </c>
      <c r="I258" s="40">
        <v>0</v>
      </c>
      <c r="J258" s="40">
        <v>1351551.52</v>
      </c>
      <c r="K258" s="21"/>
    </row>
    <row r="259" ht="64.8" hidden="1" spans="1:11">
      <c r="A259" s="21" t="s">
        <v>570</v>
      </c>
      <c r="B259" s="21" t="s">
        <v>581</v>
      </c>
      <c r="C259" s="21" t="s">
        <v>314</v>
      </c>
      <c r="D259" s="21">
        <v>18</v>
      </c>
      <c r="E259" s="21" t="s">
        <v>299</v>
      </c>
      <c r="F259" s="21" t="s">
        <v>300</v>
      </c>
      <c r="G259" s="21" t="s">
        <v>582</v>
      </c>
      <c r="H259" s="40">
        <v>10691.83</v>
      </c>
      <c r="I259" s="40">
        <v>0</v>
      </c>
      <c r="J259" s="40">
        <v>1362243.35</v>
      </c>
      <c r="K259" s="21"/>
    </row>
    <row r="260" ht="64.8" hidden="1" spans="1:11">
      <c r="A260" s="21" t="s">
        <v>570</v>
      </c>
      <c r="B260" s="21" t="s">
        <v>581</v>
      </c>
      <c r="C260" s="21" t="s">
        <v>298</v>
      </c>
      <c r="D260" s="21">
        <v>17</v>
      </c>
      <c r="E260" s="21" t="s">
        <v>299</v>
      </c>
      <c r="F260" s="21" t="s">
        <v>300</v>
      </c>
      <c r="G260" s="21" t="s">
        <v>583</v>
      </c>
      <c r="H260" s="40">
        <v>5433.6</v>
      </c>
      <c r="I260" s="40">
        <v>0</v>
      </c>
      <c r="J260" s="40">
        <v>1367676.95</v>
      </c>
      <c r="K260" s="21"/>
    </row>
    <row r="261" ht="64.8" hidden="1" spans="1:11">
      <c r="A261" s="21" t="s">
        <v>570</v>
      </c>
      <c r="B261" s="21" t="s">
        <v>581</v>
      </c>
      <c r="C261" s="21" t="s">
        <v>314</v>
      </c>
      <c r="D261" s="21">
        <v>23</v>
      </c>
      <c r="E261" s="21" t="s">
        <v>299</v>
      </c>
      <c r="F261" s="21" t="s">
        <v>300</v>
      </c>
      <c r="G261" s="21" t="s">
        <v>584</v>
      </c>
      <c r="H261" s="40">
        <v>6171.56</v>
      </c>
      <c r="I261" s="40">
        <v>0</v>
      </c>
      <c r="J261" s="40">
        <v>1373848.51</v>
      </c>
      <c r="K261" s="21"/>
    </row>
    <row r="262" ht="64.8" hidden="1" spans="1:11">
      <c r="A262" s="21" t="s">
        <v>570</v>
      </c>
      <c r="B262" s="21" t="s">
        <v>585</v>
      </c>
      <c r="C262" s="21" t="s">
        <v>298</v>
      </c>
      <c r="D262" s="21">
        <v>18</v>
      </c>
      <c r="E262" s="21" t="s">
        <v>299</v>
      </c>
      <c r="F262" s="21" t="s">
        <v>300</v>
      </c>
      <c r="G262" s="21" t="s">
        <v>586</v>
      </c>
      <c r="H262" s="40">
        <v>3846</v>
      </c>
      <c r="I262" s="40">
        <v>0</v>
      </c>
      <c r="J262" s="40">
        <v>1377694.51</v>
      </c>
      <c r="K262" s="21"/>
    </row>
    <row r="263" ht="64.8" hidden="1" spans="1:11">
      <c r="A263" s="21" t="s">
        <v>570</v>
      </c>
      <c r="B263" s="21" t="s">
        <v>585</v>
      </c>
      <c r="C263" s="21" t="s">
        <v>298</v>
      </c>
      <c r="D263" s="21">
        <v>18</v>
      </c>
      <c r="E263" s="21" t="s">
        <v>299</v>
      </c>
      <c r="F263" s="21" t="s">
        <v>300</v>
      </c>
      <c r="G263" s="21" t="s">
        <v>587</v>
      </c>
      <c r="H263" s="40">
        <v>1900</v>
      </c>
      <c r="I263" s="40">
        <v>0</v>
      </c>
      <c r="J263" s="40">
        <v>1379594.51</v>
      </c>
      <c r="K263" s="21"/>
    </row>
    <row r="264" ht="64.8" hidden="1" spans="1:11">
      <c r="A264" s="21" t="s">
        <v>570</v>
      </c>
      <c r="B264" s="21" t="s">
        <v>588</v>
      </c>
      <c r="C264" s="21" t="s">
        <v>314</v>
      </c>
      <c r="D264" s="21">
        <v>24</v>
      </c>
      <c r="E264" s="21" t="s">
        <v>299</v>
      </c>
      <c r="F264" s="21" t="s">
        <v>300</v>
      </c>
      <c r="G264" s="21" t="s">
        <v>589</v>
      </c>
      <c r="H264" s="40">
        <v>2264.15</v>
      </c>
      <c r="I264" s="40">
        <v>0</v>
      </c>
      <c r="J264" s="40">
        <v>1381858.66</v>
      </c>
      <c r="K264" s="21"/>
    </row>
    <row r="265" ht="97.2" hidden="1" spans="1:11">
      <c r="A265" s="21" t="s">
        <v>570</v>
      </c>
      <c r="B265" s="21" t="s">
        <v>590</v>
      </c>
      <c r="C265" s="21" t="s">
        <v>319</v>
      </c>
      <c r="D265" s="21">
        <v>1</v>
      </c>
      <c r="E265" s="21" t="s">
        <v>299</v>
      </c>
      <c r="F265" s="21" t="s">
        <v>300</v>
      </c>
      <c r="G265" s="21" t="s">
        <v>591</v>
      </c>
      <c r="H265" s="40">
        <v>5239.32</v>
      </c>
      <c r="I265" s="40">
        <v>0</v>
      </c>
      <c r="J265" s="40">
        <v>1387097.98</v>
      </c>
      <c r="K265" s="21"/>
    </row>
    <row r="266" ht="97.2" hidden="1" spans="1:11">
      <c r="A266" s="21" t="s">
        <v>570</v>
      </c>
      <c r="B266" s="21" t="s">
        <v>590</v>
      </c>
      <c r="C266" s="21" t="s">
        <v>319</v>
      </c>
      <c r="D266" s="21">
        <v>7</v>
      </c>
      <c r="E266" s="21" t="s">
        <v>299</v>
      </c>
      <c r="F266" s="21" t="s">
        <v>300</v>
      </c>
      <c r="G266" s="21" t="s">
        <v>592</v>
      </c>
      <c r="H266" s="40">
        <v>0</v>
      </c>
      <c r="I266" s="40">
        <v>10997.98</v>
      </c>
      <c r="J266" s="40">
        <v>1376100</v>
      </c>
      <c r="K266" s="21"/>
    </row>
    <row r="267" ht="97.2" hidden="1" spans="1:11">
      <c r="A267" s="21" t="s">
        <v>570</v>
      </c>
      <c r="B267" s="21" t="s">
        <v>590</v>
      </c>
      <c r="C267" s="21" t="s">
        <v>319</v>
      </c>
      <c r="D267" s="21">
        <v>7</v>
      </c>
      <c r="E267" s="21" t="s">
        <v>299</v>
      </c>
      <c r="F267" s="21" t="s">
        <v>300</v>
      </c>
      <c r="G267" s="21" t="s">
        <v>593</v>
      </c>
      <c r="H267" s="40">
        <v>0</v>
      </c>
      <c r="I267" s="40">
        <v>2208.26</v>
      </c>
      <c r="J267" s="40">
        <v>1373891.74</v>
      </c>
      <c r="K267" s="21"/>
    </row>
    <row r="268" ht="97.2" hidden="1" spans="1:11">
      <c r="A268" s="21" t="s">
        <v>570</v>
      </c>
      <c r="B268" s="21" t="s">
        <v>590</v>
      </c>
      <c r="C268" s="21" t="s">
        <v>319</v>
      </c>
      <c r="D268" s="21">
        <v>7</v>
      </c>
      <c r="E268" s="21" t="s">
        <v>299</v>
      </c>
      <c r="F268" s="21" t="s">
        <v>300</v>
      </c>
      <c r="G268" s="21" t="s">
        <v>594</v>
      </c>
      <c r="H268" s="40">
        <v>0</v>
      </c>
      <c r="I268" s="40">
        <v>2207.98</v>
      </c>
      <c r="J268" s="40">
        <v>1371683.76</v>
      </c>
      <c r="K268" s="21"/>
    </row>
    <row r="269" ht="97.2" hidden="1" spans="1:11">
      <c r="A269" s="21" t="s">
        <v>570</v>
      </c>
      <c r="B269" s="21" t="s">
        <v>590</v>
      </c>
      <c r="C269" s="21" t="s">
        <v>319</v>
      </c>
      <c r="D269" s="21">
        <v>7</v>
      </c>
      <c r="E269" s="21" t="s">
        <v>299</v>
      </c>
      <c r="F269" s="21" t="s">
        <v>300</v>
      </c>
      <c r="G269" s="21" t="s">
        <v>595</v>
      </c>
      <c r="H269" s="40">
        <v>0</v>
      </c>
      <c r="I269" s="40">
        <v>2492.88</v>
      </c>
      <c r="J269" s="40">
        <v>1369190.88</v>
      </c>
      <c r="K269" s="21"/>
    </row>
    <row r="270" ht="97.2" hidden="1" spans="1:11">
      <c r="A270" s="21" t="s">
        <v>570</v>
      </c>
      <c r="B270" s="21" t="s">
        <v>590</v>
      </c>
      <c r="C270" s="21" t="s">
        <v>319</v>
      </c>
      <c r="D270" s="21">
        <v>7</v>
      </c>
      <c r="E270" s="21" t="s">
        <v>299</v>
      </c>
      <c r="F270" s="21" t="s">
        <v>300</v>
      </c>
      <c r="G270" s="21" t="s">
        <v>596</v>
      </c>
      <c r="H270" s="40">
        <v>0</v>
      </c>
      <c r="I270" s="40">
        <v>2136.75</v>
      </c>
      <c r="J270" s="40">
        <v>1367054.13</v>
      </c>
      <c r="K270" s="21"/>
    </row>
    <row r="271" ht="97.2" hidden="1" spans="1:11">
      <c r="A271" s="21" t="s">
        <v>570</v>
      </c>
      <c r="B271" s="21" t="s">
        <v>590</v>
      </c>
      <c r="C271" s="21" t="s">
        <v>319</v>
      </c>
      <c r="D271" s="21">
        <v>7</v>
      </c>
      <c r="E271" s="21" t="s">
        <v>299</v>
      </c>
      <c r="F271" s="21" t="s">
        <v>300</v>
      </c>
      <c r="G271" s="21" t="s">
        <v>597</v>
      </c>
      <c r="H271" s="40">
        <v>0</v>
      </c>
      <c r="I271" s="40">
        <v>2301.99</v>
      </c>
      <c r="J271" s="40">
        <v>1364752.14</v>
      </c>
      <c r="K271" s="21"/>
    </row>
    <row r="272" ht="97.2" hidden="1" spans="1:11">
      <c r="A272" s="21" t="s">
        <v>570</v>
      </c>
      <c r="B272" s="21" t="s">
        <v>590</v>
      </c>
      <c r="C272" s="21" t="s">
        <v>319</v>
      </c>
      <c r="D272" s="21">
        <v>7</v>
      </c>
      <c r="E272" s="21" t="s">
        <v>299</v>
      </c>
      <c r="F272" s="21" t="s">
        <v>300</v>
      </c>
      <c r="G272" s="21" t="s">
        <v>598</v>
      </c>
      <c r="H272" s="40">
        <v>0</v>
      </c>
      <c r="I272" s="40">
        <v>4666.81</v>
      </c>
      <c r="J272" s="40">
        <v>1360085.33</v>
      </c>
      <c r="K272" s="21"/>
    </row>
    <row r="273" ht="97.2" hidden="1" spans="1:11">
      <c r="A273" s="21" t="s">
        <v>570</v>
      </c>
      <c r="B273" s="21" t="s">
        <v>590</v>
      </c>
      <c r="C273" s="21" t="s">
        <v>319</v>
      </c>
      <c r="D273" s="21">
        <v>7</v>
      </c>
      <c r="E273" s="21" t="s">
        <v>299</v>
      </c>
      <c r="F273" s="21" t="s">
        <v>300</v>
      </c>
      <c r="G273" s="21" t="s">
        <v>599</v>
      </c>
      <c r="H273" s="40">
        <v>0</v>
      </c>
      <c r="I273" s="40">
        <v>8832.12</v>
      </c>
      <c r="J273" s="40">
        <v>1351253.21</v>
      </c>
      <c r="K273" s="21"/>
    </row>
    <row r="274" ht="97.2" hidden="1" spans="1:11">
      <c r="A274" s="21" t="s">
        <v>570</v>
      </c>
      <c r="B274" s="21" t="s">
        <v>590</v>
      </c>
      <c r="C274" s="21" t="s">
        <v>319</v>
      </c>
      <c r="D274" s="21">
        <v>7</v>
      </c>
      <c r="E274" s="21" t="s">
        <v>299</v>
      </c>
      <c r="F274" s="21" t="s">
        <v>300</v>
      </c>
      <c r="G274" s="21" t="s">
        <v>600</v>
      </c>
      <c r="H274" s="40">
        <v>0</v>
      </c>
      <c r="I274" s="40">
        <v>628.93</v>
      </c>
      <c r="J274" s="40">
        <v>1350624.28</v>
      </c>
      <c r="K274" s="21"/>
    </row>
    <row r="275" ht="97.2" hidden="1" spans="1:11">
      <c r="A275" s="21" t="s">
        <v>570</v>
      </c>
      <c r="B275" s="21" t="s">
        <v>590</v>
      </c>
      <c r="C275" s="21" t="s">
        <v>319</v>
      </c>
      <c r="D275" s="21">
        <v>7</v>
      </c>
      <c r="E275" s="21" t="s">
        <v>299</v>
      </c>
      <c r="F275" s="21" t="s">
        <v>300</v>
      </c>
      <c r="G275" s="21" t="s">
        <v>601</v>
      </c>
      <c r="H275" s="40">
        <v>0</v>
      </c>
      <c r="I275" s="40">
        <v>1257.12</v>
      </c>
      <c r="J275" s="40">
        <v>1349367.16</v>
      </c>
      <c r="K275" s="21"/>
    </row>
    <row r="276" ht="97.2" hidden="1" spans="1:11">
      <c r="A276" s="21" t="s">
        <v>570</v>
      </c>
      <c r="B276" s="21" t="s">
        <v>590</v>
      </c>
      <c r="C276" s="21" t="s">
        <v>319</v>
      </c>
      <c r="D276" s="21">
        <v>7</v>
      </c>
      <c r="E276" s="21" t="s">
        <v>299</v>
      </c>
      <c r="F276" s="21" t="s">
        <v>300</v>
      </c>
      <c r="G276" s="21" t="s">
        <v>602</v>
      </c>
      <c r="H276" s="40">
        <v>0</v>
      </c>
      <c r="I276" s="40">
        <v>853.29</v>
      </c>
      <c r="J276" s="40">
        <v>1348513.87</v>
      </c>
      <c r="K276" s="21"/>
    </row>
    <row r="277" ht="97.2" hidden="1" spans="1:11">
      <c r="A277" s="21" t="s">
        <v>570</v>
      </c>
      <c r="B277" s="21" t="s">
        <v>590</v>
      </c>
      <c r="C277" s="21" t="s">
        <v>319</v>
      </c>
      <c r="D277" s="21">
        <v>7</v>
      </c>
      <c r="E277" s="21" t="s">
        <v>299</v>
      </c>
      <c r="F277" s="21" t="s">
        <v>300</v>
      </c>
      <c r="G277" s="21" t="s">
        <v>603</v>
      </c>
      <c r="H277" s="40">
        <v>0</v>
      </c>
      <c r="I277" s="40">
        <v>436.61</v>
      </c>
      <c r="J277" s="40">
        <v>1348077.26</v>
      </c>
      <c r="K277" s="21"/>
    </row>
    <row r="278" ht="97.2" hidden="1" spans="1:11">
      <c r="A278" s="21" t="s">
        <v>570</v>
      </c>
      <c r="B278" s="21" t="s">
        <v>590</v>
      </c>
      <c r="C278" s="21" t="s">
        <v>319</v>
      </c>
      <c r="D278" s="21">
        <v>7</v>
      </c>
      <c r="E278" s="21" t="s">
        <v>299</v>
      </c>
      <c r="F278" s="21" t="s">
        <v>300</v>
      </c>
      <c r="G278" s="21" t="s">
        <v>604</v>
      </c>
      <c r="H278" s="40">
        <v>0</v>
      </c>
      <c r="I278" s="40">
        <v>569.8</v>
      </c>
      <c r="J278" s="40">
        <v>1347507.46</v>
      </c>
      <c r="K278" s="21"/>
    </row>
    <row r="279" ht="97.2" hidden="1" spans="1:11">
      <c r="A279" s="21" t="s">
        <v>570</v>
      </c>
      <c r="B279" s="21" t="s">
        <v>590</v>
      </c>
      <c r="C279" s="21" t="s">
        <v>319</v>
      </c>
      <c r="D279" s="21">
        <v>7</v>
      </c>
      <c r="E279" s="21" t="s">
        <v>299</v>
      </c>
      <c r="F279" s="21" t="s">
        <v>300</v>
      </c>
      <c r="G279" s="21" t="s">
        <v>605</v>
      </c>
      <c r="H279" s="40">
        <v>0</v>
      </c>
      <c r="I279" s="40">
        <v>900</v>
      </c>
      <c r="J279" s="40">
        <v>1346607.46</v>
      </c>
      <c r="K279" s="21"/>
    </row>
    <row r="280" ht="97.2" hidden="1" spans="1:11">
      <c r="A280" s="21" t="s">
        <v>570</v>
      </c>
      <c r="B280" s="21" t="s">
        <v>590</v>
      </c>
      <c r="C280" s="21" t="s">
        <v>319</v>
      </c>
      <c r="D280" s="21">
        <v>7</v>
      </c>
      <c r="E280" s="21" t="s">
        <v>299</v>
      </c>
      <c r="F280" s="21" t="s">
        <v>300</v>
      </c>
      <c r="G280" s="21" t="s">
        <v>606</v>
      </c>
      <c r="H280" s="40">
        <v>0</v>
      </c>
      <c r="I280" s="40">
        <v>237.6</v>
      </c>
      <c r="J280" s="40">
        <v>1346369.86</v>
      </c>
      <c r="K280" s="21"/>
    </row>
    <row r="281" ht="97.2" hidden="1" spans="1:11">
      <c r="A281" s="21" t="s">
        <v>570</v>
      </c>
      <c r="B281" s="21" t="s">
        <v>590</v>
      </c>
      <c r="C281" s="21" t="s">
        <v>319</v>
      </c>
      <c r="D281" s="21">
        <v>7</v>
      </c>
      <c r="E281" s="21" t="s">
        <v>299</v>
      </c>
      <c r="F281" s="21" t="s">
        <v>300</v>
      </c>
      <c r="G281" s="21" t="s">
        <v>607</v>
      </c>
      <c r="H281" s="40">
        <v>0</v>
      </c>
      <c r="I281" s="40">
        <v>162</v>
      </c>
      <c r="J281" s="40">
        <v>1346207.86</v>
      </c>
      <c r="K281" s="21"/>
    </row>
    <row r="282" ht="97.2" hidden="1" spans="1:11">
      <c r="A282" s="21" t="s">
        <v>570</v>
      </c>
      <c r="B282" s="21" t="s">
        <v>590</v>
      </c>
      <c r="C282" s="21" t="s">
        <v>319</v>
      </c>
      <c r="D282" s="21">
        <v>7</v>
      </c>
      <c r="E282" s="21" t="s">
        <v>299</v>
      </c>
      <c r="F282" s="21" t="s">
        <v>300</v>
      </c>
      <c r="G282" s="21" t="s">
        <v>608</v>
      </c>
      <c r="H282" s="40">
        <v>0</v>
      </c>
      <c r="I282" s="40">
        <v>7648.98</v>
      </c>
      <c r="J282" s="40">
        <v>1338558.88</v>
      </c>
      <c r="K282" s="21"/>
    </row>
    <row r="283" ht="97.2" hidden="1" spans="1:11">
      <c r="A283" s="21" t="s">
        <v>570</v>
      </c>
      <c r="B283" s="21" t="s">
        <v>590</v>
      </c>
      <c r="C283" s="21" t="s">
        <v>319</v>
      </c>
      <c r="D283" s="21">
        <v>7</v>
      </c>
      <c r="E283" s="21" t="s">
        <v>299</v>
      </c>
      <c r="F283" s="21" t="s">
        <v>300</v>
      </c>
      <c r="G283" s="21" t="s">
        <v>609</v>
      </c>
      <c r="H283" s="40">
        <v>0</v>
      </c>
      <c r="I283" s="40">
        <v>1507.84</v>
      </c>
      <c r="J283" s="40">
        <v>1337051.04</v>
      </c>
      <c r="K283" s="21"/>
    </row>
    <row r="284" ht="97.2" hidden="1" spans="1:11">
      <c r="A284" s="21" t="s">
        <v>570</v>
      </c>
      <c r="B284" s="21" t="s">
        <v>590</v>
      </c>
      <c r="C284" s="21" t="s">
        <v>319</v>
      </c>
      <c r="D284" s="21">
        <v>10</v>
      </c>
      <c r="E284" s="21" t="s">
        <v>299</v>
      </c>
      <c r="F284" s="21" t="s">
        <v>300</v>
      </c>
      <c r="G284" s="21" t="s">
        <v>610</v>
      </c>
      <c r="H284" s="40">
        <v>0</v>
      </c>
      <c r="I284" s="40">
        <v>2849</v>
      </c>
      <c r="J284" s="40">
        <v>1334202.04</v>
      </c>
      <c r="K284" s="21"/>
    </row>
    <row r="285" ht="97.2" hidden="1" spans="1:11">
      <c r="A285" s="21" t="s">
        <v>570</v>
      </c>
      <c r="B285" s="21" t="s">
        <v>590</v>
      </c>
      <c r="C285" s="21" t="s">
        <v>319</v>
      </c>
      <c r="D285" s="21">
        <v>10</v>
      </c>
      <c r="E285" s="21" t="s">
        <v>299</v>
      </c>
      <c r="F285" s="21" t="s">
        <v>300</v>
      </c>
      <c r="G285" s="21" t="s">
        <v>611</v>
      </c>
      <c r="H285" s="40">
        <v>0</v>
      </c>
      <c r="I285" s="40">
        <v>433.33</v>
      </c>
      <c r="J285" s="40">
        <v>1333768.71</v>
      </c>
      <c r="K285" s="21"/>
    </row>
    <row r="286" ht="97.2" hidden="1" spans="1:11">
      <c r="A286" s="21" t="s">
        <v>570</v>
      </c>
      <c r="B286" s="21" t="s">
        <v>590</v>
      </c>
      <c r="C286" s="21" t="s">
        <v>319</v>
      </c>
      <c r="D286" s="21">
        <v>10</v>
      </c>
      <c r="E286" s="21" t="s">
        <v>299</v>
      </c>
      <c r="F286" s="21" t="s">
        <v>300</v>
      </c>
      <c r="G286" s="21" t="s">
        <v>612</v>
      </c>
      <c r="H286" s="40">
        <v>0</v>
      </c>
      <c r="I286" s="40">
        <v>32239.39</v>
      </c>
      <c r="J286" s="40">
        <v>1301529.32</v>
      </c>
      <c r="K286" s="21"/>
    </row>
    <row r="287" ht="97.2" hidden="1" spans="1:11">
      <c r="A287" s="21" t="s">
        <v>570</v>
      </c>
      <c r="B287" s="21" t="s">
        <v>590</v>
      </c>
      <c r="C287" s="21" t="s">
        <v>319</v>
      </c>
      <c r="D287" s="21">
        <v>10</v>
      </c>
      <c r="E287" s="21" t="s">
        <v>299</v>
      </c>
      <c r="F287" s="21" t="s">
        <v>300</v>
      </c>
      <c r="G287" s="21" t="s">
        <v>613</v>
      </c>
      <c r="H287" s="40">
        <v>0</v>
      </c>
      <c r="I287" s="40">
        <v>4455.85</v>
      </c>
      <c r="J287" s="40">
        <v>1297073.47</v>
      </c>
      <c r="K287" s="21"/>
    </row>
    <row r="288" ht="97.2" hidden="1" spans="1:11">
      <c r="A288" s="21" t="s">
        <v>570</v>
      </c>
      <c r="B288" s="21" t="s">
        <v>590</v>
      </c>
      <c r="C288" s="21" t="s">
        <v>319</v>
      </c>
      <c r="D288" s="21">
        <v>10</v>
      </c>
      <c r="E288" s="21" t="s">
        <v>299</v>
      </c>
      <c r="F288" s="21" t="s">
        <v>300</v>
      </c>
      <c r="G288" s="21" t="s">
        <v>614</v>
      </c>
      <c r="H288" s="40">
        <v>0</v>
      </c>
      <c r="I288" s="40">
        <v>2908.81</v>
      </c>
      <c r="J288" s="40">
        <v>1294164.66</v>
      </c>
      <c r="K288" s="21"/>
    </row>
    <row r="289" ht="97.2" hidden="1" spans="1:11">
      <c r="A289" s="21" t="s">
        <v>570</v>
      </c>
      <c r="B289" s="21" t="s">
        <v>590</v>
      </c>
      <c r="C289" s="21" t="s">
        <v>319</v>
      </c>
      <c r="D289" s="21">
        <v>10</v>
      </c>
      <c r="E289" s="21" t="s">
        <v>299</v>
      </c>
      <c r="F289" s="21" t="s">
        <v>300</v>
      </c>
      <c r="G289" s="21" t="s">
        <v>615</v>
      </c>
      <c r="H289" s="40">
        <v>0</v>
      </c>
      <c r="I289" s="40">
        <v>609.33</v>
      </c>
      <c r="J289" s="40">
        <v>1293555.33</v>
      </c>
      <c r="K289" s="21"/>
    </row>
    <row r="290" ht="97.2" hidden="1" spans="1:11">
      <c r="A290" s="21" t="s">
        <v>570</v>
      </c>
      <c r="B290" s="21" t="s">
        <v>590</v>
      </c>
      <c r="C290" s="21" t="s">
        <v>319</v>
      </c>
      <c r="D290" s="21">
        <v>10</v>
      </c>
      <c r="E290" s="21" t="s">
        <v>299</v>
      </c>
      <c r="F290" s="21" t="s">
        <v>300</v>
      </c>
      <c r="G290" s="21" t="s">
        <v>616</v>
      </c>
      <c r="H290" s="40">
        <v>0</v>
      </c>
      <c r="I290" s="40">
        <v>1433.33</v>
      </c>
      <c r="J290" s="40">
        <v>1292122</v>
      </c>
      <c r="K290" s="21"/>
    </row>
    <row r="291" ht="97.2" hidden="1" spans="1:11">
      <c r="A291" s="21" t="s">
        <v>570</v>
      </c>
      <c r="B291" s="21" t="s">
        <v>590</v>
      </c>
      <c r="C291" s="21" t="s">
        <v>319</v>
      </c>
      <c r="D291" s="21">
        <v>10</v>
      </c>
      <c r="E291" s="21" t="s">
        <v>299</v>
      </c>
      <c r="F291" s="21" t="s">
        <v>300</v>
      </c>
      <c r="G291" s="21" t="s">
        <v>617</v>
      </c>
      <c r="H291" s="40">
        <v>0</v>
      </c>
      <c r="I291" s="40">
        <v>2358.49</v>
      </c>
      <c r="J291" s="40">
        <v>1289763.51</v>
      </c>
      <c r="K291" s="21"/>
    </row>
    <row r="292" ht="97.2" hidden="1" spans="1:11">
      <c r="A292" s="21" t="s">
        <v>570</v>
      </c>
      <c r="B292" s="21" t="s">
        <v>590</v>
      </c>
      <c r="C292" s="21" t="s">
        <v>319</v>
      </c>
      <c r="D292" s="21">
        <v>10</v>
      </c>
      <c r="E292" s="21" t="s">
        <v>299</v>
      </c>
      <c r="F292" s="21" t="s">
        <v>300</v>
      </c>
      <c r="G292" s="21" t="s">
        <v>618</v>
      </c>
      <c r="H292" s="40">
        <v>0</v>
      </c>
      <c r="I292" s="40">
        <v>289.08</v>
      </c>
      <c r="J292" s="40">
        <v>1289474.43</v>
      </c>
      <c r="K292" s="21"/>
    </row>
    <row r="293" ht="97.2" hidden="1" spans="1:11">
      <c r="A293" s="21" t="s">
        <v>570</v>
      </c>
      <c r="B293" s="21" t="s">
        <v>590</v>
      </c>
      <c r="C293" s="21" t="s">
        <v>319</v>
      </c>
      <c r="D293" s="21">
        <v>10</v>
      </c>
      <c r="E293" s="21" t="s">
        <v>299</v>
      </c>
      <c r="F293" s="21" t="s">
        <v>300</v>
      </c>
      <c r="G293" s="21" t="s">
        <v>619</v>
      </c>
      <c r="H293" s="40">
        <v>0</v>
      </c>
      <c r="I293" s="40">
        <v>6261.39</v>
      </c>
      <c r="J293" s="40">
        <v>1283213.04</v>
      </c>
      <c r="K293" s="21"/>
    </row>
    <row r="294" ht="97.2" hidden="1" spans="1:11">
      <c r="A294" s="21" t="s">
        <v>570</v>
      </c>
      <c r="B294" s="21" t="s">
        <v>590</v>
      </c>
      <c r="C294" s="21" t="s">
        <v>319</v>
      </c>
      <c r="D294" s="21">
        <v>10</v>
      </c>
      <c r="E294" s="21" t="s">
        <v>299</v>
      </c>
      <c r="F294" s="21" t="s">
        <v>300</v>
      </c>
      <c r="G294" s="21" t="s">
        <v>620</v>
      </c>
      <c r="H294" s="40">
        <v>0</v>
      </c>
      <c r="I294" s="40">
        <v>800</v>
      </c>
      <c r="J294" s="40">
        <v>1282413.04</v>
      </c>
      <c r="K294" s="21"/>
    </row>
    <row r="295" ht="97.2" hidden="1" spans="1:11">
      <c r="A295" s="21" t="s">
        <v>570</v>
      </c>
      <c r="B295" s="21" t="s">
        <v>590</v>
      </c>
      <c r="C295" s="21" t="s">
        <v>319</v>
      </c>
      <c r="D295" s="21">
        <v>10</v>
      </c>
      <c r="E295" s="21" t="s">
        <v>299</v>
      </c>
      <c r="F295" s="21" t="s">
        <v>300</v>
      </c>
      <c r="G295" s="21" t="s">
        <v>621</v>
      </c>
      <c r="H295" s="40">
        <v>0</v>
      </c>
      <c r="I295" s="40">
        <v>5396.22</v>
      </c>
      <c r="J295" s="40">
        <v>1277016.82</v>
      </c>
      <c r="K295" s="21"/>
    </row>
    <row r="296" ht="97.2" hidden="1" spans="1:11">
      <c r="A296" s="21" t="s">
        <v>570</v>
      </c>
      <c r="B296" s="21" t="s">
        <v>590</v>
      </c>
      <c r="C296" s="21" t="s">
        <v>319</v>
      </c>
      <c r="D296" s="21">
        <v>10</v>
      </c>
      <c r="E296" s="21" t="s">
        <v>299</v>
      </c>
      <c r="F296" s="21" t="s">
        <v>300</v>
      </c>
      <c r="G296" s="21" t="s">
        <v>622</v>
      </c>
      <c r="H296" s="40">
        <v>0</v>
      </c>
      <c r="I296" s="40">
        <v>664.84</v>
      </c>
      <c r="J296" s="40">
        <v>1276351.98</v>
      </c>
      <c r="K296" s="21"/>
    </row>
    <row r="297" ht="97.2" hidden="1" spans="1:11">
      <c r="A297" s="21" t="s">
        <v>570</v>
      </c>
      <c r="B297" s="21" t="s">
        <v>590</v>
      </c>
      <c r="C297" s="21" t="s">
        <v>319</v>
      </c>
      <c r="D297" s="21">
        <v>10</v>
      </c>
      <c r="E297" s="21" t="s">
        <v>299</v>
      </c>
      <c r="F297" s="21" t="s">
        <v>300</v>
      </c>
      <c r="G297" s="21" t="s">
        <v>623</v>
      </c>
      <c r="H297" s="40">
        <v>0</v>
      </c>
      <c r="I297" s="40">
        <v>1000</v>
      </c>
      <c r="J297" s="40">
        <v>1275351.98</v>
      </c>
      <c r="K297" s="21"/>
    </row>
    <row r="298" ht="97.2" hidden="1" spans="1:11">
      <c r="A298" s="21" t="s">
        <v>570</v>
      </c>
      <c r="B298" s="21" t="s">
        <v>590</v>
      </c>
      <c r="C298" s="21" t="s">
        <v>319</v>
      </c>
      <c r="D298" s="21">
        <v>10</v>
      </c>
      <c r="E298" s="21" t="s">
        <v>299</v>
      </c>
      <c r="F298" s="21" t="s">
        <v>300</v>
      </c>
      <c r="G298" s="21" t="s">
        <v>460</v>
      </c>
      <c r="H298" s="40">
        <v>0</v>
      </c>
      <c r="I298" s="40">
        <v>291</v>
      </c>
      <c r="J298" s="40">
        <v>1275060.98</v>
      </c>
      <c r="K298" s="21"/>
    </row>
    <row r="299" ht="97.2" hidden="1" spans="1:11">
      <c r="A299" s="21" t="s">
        <v>570</v>
      </c>
      <c r="B299" s="21" t="s">
        <v>590</v>
      </c>
      <c r="C299" s="21" t="s">
        <v>319</v>
      </c>
      <c r="D299" s="21">
        <v>10</v>
      </c>
      <c r="E299" s="21" t="s">
        <v>299</v>
      </c>
      <c r="F299" s="21" t="s">
        <v>300</v>
      </c>
      <c r="G299" s="21" t="s">
        <v>624</v>
      </c>
      <c r="H299" s="40">
        <v>0</v>
      </c>
      <c r="I299" s="40">
        <v>1779.94</v>
      </c>
      <c r="J299" s="40">
        <v>1273281.04</v>
      </c>
      <c r="K299" s="21"/>
    </row>
    <row r="300" ht="97.2" hidden="1" spans="1:11">
      <c r="A300" s="21" t="s">
        <v>570</v>
      </c>
      <c r="B300" s="21" t="s">
        <v>590</v>
      </c>
      <c r="C300" s="21" t="s">
        <v>319</v>
      </c>
      <c r="D300" s="21">
        <v>10</v>
      </c>
      <c r="E300" s="21" t="s">
        <v>299</v>
      </c>
      <c r="F300" s="21" t="s">
        <v>300</v>
      </c>
      <c r="G300" s="21" t="s">
        <v>625</v>
      </c>
      <c r="H300" s="40">
        <v>0</v>
      </c>
      <c r="I300" s="40">
        <v>6432.25</v>
      </c>
      <c r="J300" s="40">
        <v>1266848.79</v>
      </c>
      <c r="K300" s="21"/>
    </row>
    <row r="301" ht="97.2" hidden="1" spans="1:11">
      <c r="A301" s="21" t="s">
        <v>570</v>
      </c>
      <c r="B301" s="21" t="s">
        <v>590</v>
      </c>
      <c r="C301" s="21" t="s">
        <v>319</v>
      </c>
      <c r="D301" s="21">
        <v>10</v>
      </c>
      <c r="E301" s="21" t="s">
        <v>299</v>
      </c>
      <c r="F301" s="21" t="s">
        <v>300</v>
      </c>
      <c r="G301" s="21" t="s">
        <v>415</v>
      </c>
      <c r="H301" s="40">
        <v>0</v>
      </c>
      <c r="I301" s="40">
        <v>807.86</v>
      </c>
      <c r="J301" s="40">
        <v>1266040.93</v>
      </c>
      <c r="K301" s="21"/>
    </row>
    <row r="302" ht="97.2" hidden="1" spans="1:11">
      <c r="A302" s="21" t="s">
        <v>570</v>
      </c>
      <c r="B302" s="21" t="s">
        <v>590</v>
      </c>
      <c r="C302" s="21" t="s">
        <v>319</v>
      </c>
      <c r="D302" s="21">
        <v>10</v>
      </c>
      <c r="E302" s="21" t="s">
        <v>299</v>
      </c>
      <c r="F302" s="21" t="s">
        <v>300</v>
      </c>
      <c r="G302" s="21" t="s">
        <v>626</v>
      </c>
      <c r="H302" s="40">
        <v>0</v>
      </c>
      <c r="I302" s="40">
        <v>760</v>
      </c>
      <c r="J302" s="40">
        <v>1265280.93</v>
      </c>
      <c r="K302" s="21"/>
    </row>
    <row r="303" ht="97.2" hidden="1" spans="1:11">
      <c r="A303" s="21" t="s">
        <v>570</v>
      </c>
      <c r="B303" s="21" t="s">
        <v>590</v>
      </c>
      <c r="C303" s="21" t="s">
        <v>319</v>
      </c>
      <c r="D303" s="21">
        <v>10</v>
      </c>
      <c r="E303" s="21" t="s">
        <v>299</v>
      </c>
      <c r="F303" s="21" t="s">
        <v>300</v>
      </c>
      <c r="G303" s="21" t="s">
        <v>627</v>
      </c>
      <c r="H303" s="40">
        <v>0</v>
      </c>
      <c r="I303" s="40">
        <v>1667</v>
      </c>
      <c r="J303" s="40">
        <v>1263613.93</v>
      </c>
      <c r="K303" s="21"/>
    </row>
    <row r="304" ht="97.2" hidden="1" spans="1:11">
      <c r="A304" s="21" t="s">
        <v>570</v>
      </c>
      <c r="B304" s="21" t="s">
        <v>590</v>
      </c>
      <c r="C304" s="21" t="s">
        <v>319</v>
      </c>
      <c r="D304" s="21">
        <v>10</v>
      </c>
      <c r="E304" s="21" t="s">
        <v>299</v>
      </c>
      <c r="F304" s="21" t="s">
        <v>300</v>
      </c>
      <c r="G304" s="21" t="s">
        <v>628</v>
      </c>
      <c r="H304" s="40">
        <v>0</v>
      </c>
      <c r="I304" s="40">
        <v>4127.88</v>
      </c>
      <c r="J304" s="40">
        <v>1259486.05</v>
      </c>
      <c r="K304" s="21"/>
    </row>
    <row r="305" ht="97.2" hidden="1" spans="1:11">
      <c r="A305" s="21" t="s">
        <v>570</v>
      </c>
      <c r="B305" s="21" t="s">
        <v>590</v>
      </c>
      <c r="C305" s="21" t="s">
        <v>319</v>
      </c>
      <c r="D305" s="21">
        <v>10</v>
      </c>
      <c r="E305" s="21" t="s">
        <v>299</v>
      </c>
      <c r="F305" s="21" t="s">
        <v>300</v>
      </c>
      <c r="G305" s="21" t="s">
        <v>629</v>
      </c>
      <c r="H305" s="40">
        <v>0</v>
      </c>
      <c r="I305" s="40">
        <v>1026</v>
      </c>
      <c r="J305" s="40">
        <v>1258460.05</v>
      </c>
      <c r="K305" s="21"/>
    </row>
    <row r="306" ht="97.2" hidden="1" spans="1:11">
      <c r="A306" s="21" t="s">
        <v>570</v>
      </c>
      <c r="B306" s="21" t="s">
        <v>590</v>
      </c>
      <c r="C306" s="21" t="s">
        <v>319</v>
      </c>
      <c r="D306" s="21">
        <v>10</v>
      </c>
      <c r="E306" s="21" t="s">
        <v>299</v>
      </c>
      <c r="F306" s="21" t="s">
        <v>300</v>
      </c>
      <c r="G306" s="21" t="s">
        <v>630</v>
      </c>
      <c r="H306" s="40">
        <v>0</v>
      </c>
      <c r="I306" s="40">
        <v>2350</v>
      </c>
      <c r="J306" s="40">
        <v>1256110.05</v>
      </c>
      <c r="K306" s="21"/>
    </row>
    <row r="307" ht="97.2" hidden="1" spans="1:11">
      <c r="A307" s="21" t="s">
        <v>570</v>
      </c>
      <c r="B307" s="21" t="s">
        <v>590</v>
      </c>
      <c r="C307" s="21" t="s">
        <v>319</v>
      </c>
      <c r="D307" s="21">
        <v>10</v>
      </c>
      <c r="E307" s="21" t="s">
        <v>299</v>
      </c>
      <c r="F307" s="21" t="s">
        <v>300</v>
      </c>
      <c r="G307" s="21" t="s">
        <v>472</v>
      </c>
      <c r="H307" s="40">
        <v>0</v>
      </c>
      <c r="I307" s="40">
        <v>907</v>
      </c>
      <c r="J307" s="40">
        <v>1255203.05</v>
      </c>
      <c r="K307" s="21"/>
    </row>
    <row r="308" ht="97.2" hidden="1" spans="1:11">
      <c r="A308" s="21" t="s">
        <v>570</v>
      </c>
      <c r="B308" s="21" t="s">
        <v>590</v>
      </c>
      <c r="C308" s="21" t="s">
        <v>319</v>
      </c>
      <c r="D308" s="21">
        <v>10</v>
      </c>
      <c r="E308" s="21" t="s">
        <v>299</v>
      </c>
      <c r="F308" s="21" t="s">
        <v>300</v>
      </c>
      <c r="G308" s="21" t="s">
        <v>473</v>
      </c>
      <c r="H308" s="40">
        <v>0</v>
      </c>
      <c r="I308" s="40">
        <v>5847.83</v>
      </c>
      <c r="J308" s="40">
        <v>1249355.22</v>
      </c>
      <c r="K308" s="21"/>
    </row>
    <row r="309" ht="97.2" hidden="1" spans="1:11">
      <c r="A309" s="21" t="s">
        <v>570</v>
      </c>
      <c r="B309" s="21" t="s">
        <v>590</v>
      </c>
      <c r="C309" s="21" t="s">
        <v>319</v>
      </c>
      <c r="D309" s="21">
        <v>10</v>
      </c>
      <c r="E309" s="21" t="s">
        <v>299</v>
      </c>
      <c r="F309" s="21" t="s">
        <v>300</v>
      </c>
      <c r="G309" s="21" t="s">
        <v>631</v>
      </c>
      <c r="H309" s="40">
        <v>0</v>
      </c>
      <c r="I309" s="40">
        <v>13664</v>
      </c>
      <c r="J309" s="40">
        <v>1235691.22</v>
      </c>
      <c r="K309" s="21"/>
    </row>
    <row r="310" ht="97.2" hidden="1" spans="1:11">
      <c r="A310" s="21" t="s">
        <v>570</v>
      </c>
      <c r="B310" s="21" t="s">
        <v>590</v>
      </c>
      <c r="C310" s="21" t="s">
        <v>319</v>
      </c>
      <c r="D310" s="21">
        <v>10</v>
      </c>
      <c r="E310" s="21" t="s">
        <v>299</v>
      </c>
      <c r="F310" s="21" t="s">
        <v>300</v>
      </c>
      <c r="G310" s="21" t="s">
        <v>558</v>
      </c>
      <c r="H310" s="40">
        <v>0</v>
      </c>
      <c r="I310" s="40">
        <v>893.55</v>
      </c>
      <c r="J310" s="40">
        <v>1234797.67</v>
      </c>
      <c r="K310" s="21"/>
    </row>
    <row r="311" ht="97.2" hidden="1" spans="1:11">
      <c r="A311" s="21" t="s">
        <v>570</v>
      </c>
      <c r="B311" s="21" t="s">
        <v>590</v>
      </c>
      <c r="C311" s="21" t="s">
        <v>319</v>
      </c>
      <c r="D311" s="21">
        <v>10</v>
      </c>
      <c r="E311" s="21" t="s">
        <v>299</v>
      </c>
      <c r="F311" s="21" t="s">
        <v>300</v>
      </c>
      <c r="G311" s="21" t="s">
        <v>632</v>
      </c>
      <c r="H311" s="40">
        <v>0</v>
      </c>
      <c r="I311" s="40">
        <v>1973.59</v>
      </c>
      <c r="J311" s="40">
        <v>1232824.08</v>
      </c>
      <c r="K311" s="21"/>
    </row>
    <row r="312" ht="97.2" hidden="1" spans="1:11">
      <c r="A312" s="21" t="s">
        <v>570</v>
      </c>
      <c r="B312" s="21" t="s">
        <v>590</v>
      </c>
      <c r="C312" s="21" t="s">
        <v>319</v>
      </c>
      <c r="D312" s="21">
        <v>10</v>
      </c>
      <c r="E312" s="21" t="s">
        <v>299</v>
      </c>
      <c r="F312" s="21" t="s">
        <v>300</v>
      </c>
      <c r="G312" s="21" t="s">
        <v>633</v>
      </c>
      <c r="H312" s="40">
        <v>0</v>
      </c>
      <c r="I312" s="40">
        <v>3282.4</v>
      </c>
      <c r="J312" s="40">
        <v>1229541.68</v>
      </c>
      <c r="K312" s="21"/>
    </row>
    <row r="313" ht="97.2" hidden="1" spans="1:11">
      <c r="A313" s="21" t="s">
        <v>570</v>
      </c>
      <c r="B313" s="21" t="s">
        <v>590</v>
      </c>
      <c r="C313" s="21" t="s">
        <v>319</v>
      </c>
      <c r="D313" s="21">
        <v>10</v>
      </c>
      <c r="E313" s="21" t="s">
        <v>299</v>
      </c>
      <c r="F313" s="21" t="s">
        <v>300</v>
      </c>
      <c r="G313" s="21" t="s">
        <v>634</v>
      </c>
      <c r="H313" s="40">
        <v>0</v>
      </c>
      <c r="I313" s="40">
        <v>1719.95</v>
      </c>
      <c r="J313" s="40">
        <v>1227821.73</v>
      </c>
      <c r="K313" s="21"/>
    </row>
    <row r="314" ht="97.2" hidden="1" spans="1:11">
      <c r="A314" s="21" t="s">
        <v>570</v>
      </c>
      <c r="B314" s="21" t="s">
        <v>590</v>
      </c>
      <c r="C314" s="21" t="s">
        <v>319</v>
      </c>
      <c r="D314" s="21">
        <v>10</v>
      </c>
      <c r="E314" s="21" t="s">
        <v>299</v>
      </c>
      <c r="F314" s="21" t="s">
        <v>300</v>
      </c>
      <c r="G314" s="21" t="s">
        <v>635</v>
      </c>
      <c r="H314" s="40">
        <v>0</v>
      </c>
      <c r="I314" s="40">
        <v>1275</v>
      </c>
      <c r="J314" s="40">
        <v>1226546.73</v>
      </c>
      <c r="K314" s="21"/>
    </row>
    <row r="315" ht="97.2" hidden="1" spans="1:11">
      <c r="A315" s="21" t="s">
        <v>570</v>
      </c>
      <c r="B315" s="21" t="s">
        <v>590</v>
      </c>
      <c r="C315" s="21" t="s">
        <v>319</v>
      </c>
      <c r="D315" s="21">
        <v>10</v>
      </c>
      <c r="E315" s="21" t="s">
        <v>299</v>
      </c>
      <c r="F315" s="21" t="s">
        <v>300</v>
      </c>
      <c r="G315" s="21" t="s">
        <v>636</v>
      </c>
      <c r="H315" s="40">
        <v>0</v>
      </c>
      <c r="I315" s="40">
        <v>2400</v>
      </c>
      <c r="J315" s="40">
        <v>1224146.73</v>
      </c>
      <c r="K315" s="21"/>
    </row>
    <row r="316" ht="97.2" hidden="1" spans="1:11">
      <c r="A316" s="21" t="s">
        <v>570</v>
      </c>
      <c r="B316" s="21" t="s">
        <v>590</v>
      </c>
      <c r="C316" s="21" t="s">
        <v>319</v>
      </c>
      <c r="D316" s="21">
        <v>10</v>
      </c>
      <c r="E316" s="21" t="s">
        <v>299</v>
      </c>
      <c r="F316" s="21" t="s">
        <v>300</v>
      </c>
      <c r="G316" s="21" t="s">
        <v>637</v>
      </c>
      <c r="H316" s="40">
        <v>0</v>
      </c>
      <c r="I316" s="40">
        <v>583</v>
      </c>
      <c r="J316" s="40">
        <v>1223563.73</v>
      </c>
      <c r="K316" s="21"/>
    </row>
    <row r="317" ht="97.2" hidden="1" spans="1:11">
      <c r="A317" s="21" t="s">
        <v>570</v>
      </c>
      <c r="B317" s="21" t="s">
        <v>590</v>
      </c>
      <c r="C317" s="21" t="s">
        <v>319</v>
      </c>
      <c r="D317" s="21">
        <v>10</v>
      </c>
      <c r="E317" s="21" t="s">
        <v>299</v>
      </c>
      <c r="F317" s="21" t="s">
        <v>300</v>
      </c>
      <c r="G317" s="21" t="s">
        <v>565</v>
      </c>
      <c r="H317" s="40">
        <v>0</v>
      </c>
      <c r="I317" s="40">
        <v>1123.79</v>
      </c>
      <c r="J317" s="40">
        <v>1222439.94</v>
      </c>
      <c r="K317" s="21"/>
    </row>
    <row r="318" ht="97.2" hidden="1" spans="1:11">
      <c r="A318" s="21" t="s">
        <v>570</v>
      </c>
      <c r="B318" s="21" t="s">
        <v>590</v>
      </c>
      <c r="C318" s="21" t="s">
        <v>319</v>
      </c>
      <c r="D318" s="21">
        <v>10</v>
      </c>
      <c r="E318" s="21" t="s">
        <v>299</v>
      </c>
      <c r="F318" s="21" t="s">
        <v>300</v>
      </c>
      <c r="G318" s="21" t="s">
        <v>566</v>
      </c>
      <c r="H318" s="40">
        <v>0</v>
      </c>
      <c r="I318" s="40">
        <v>786.16</v>
      </c>
      <c r="J318" s="40">
        <v>1221653.78</v>
      </c>
      <c r="K318" s="21"/>
    </row>
    <row r="319" ht="97.2" hidden="1" spans="1:11">
      <c r="A319" s="21" t="s">
        <v>570</v>
      </c>
      <c r="B319" s="21" t="s">
        <v>590</v>
      </c>
      <c r="C319" s="21" t="s">
        <v>319</v>
      </c>
      <c r="D319" s="21">
        <v>10</v>
      </c>
      <c r="E319" s="21" t="s">
        <v>299</v>
      </c>
      <c r="F319" s="21" t="s">
        <v>300</v>
      </c>
      <c r="G319" s="21" t="s">
        <v>567</v>
      </c>
      <c r="H319" s="40">
        <v>0</v>
      </c>
      <c r="I319" s="40">
        <v>500</v>
      </c>
      <c r="J319" s="40">
        <v>1221153.78</v>
      </c>
      <c r="K319" s="21"/>
    </row>
    <row r="320" ht="97.2" hidden="1" spans="1:11">
      <c r="A320" s="21" t="s">
        <v>570</v>
      </c>
      <c r="B320" s="21" t="s">
        <v>590</v>
      </c>
      <c r="C320" s="21" t="s">
        <v>319</v>
      </c>
      <c r="D320" s="21">
        <v>10</v>
      </c>
      <c r="E320" s="21" t="s">
        <v>299</v>
      </c>
      <c r="F320" s="21" t="s">
        <v>300</v>
      </c>
      <c r="G320" s="21" t="s">
        <v>638</v>
      </c>
      <c r="H320" s="40">
        <v>0</v>
      </c>
      <c r="I320" s="40">
        <v>5165.05</v>
      </c>
      <c r="J320" s="40">
        <v>1215988.73</v>
      </c>
      <c r="K320" s="21"/>
    </row>
    <row r="321" ht="97.2" hidden="1" spans="1:11">
      <c r="A321" s="21" t="s">
        <v>570</v>
      </c>
      <c r="B321" s="21" t="s">
        <v>590</v>
      </c>
      <c r="C321" s="21" t="s">
        <v>319</v>
      </c>
      <c r="D321" s="21">
        <v>10</v>
      </c>
      <c r="E321" s="21" t="s">
        <v>299</v>
      </c>
      <c r="F321" s="21" t="s">
        <v>300</v>
      </c>
      <c r="G321" s="21" t="s">
        <v>639</v>
      </c>
      <c r="H321" s="40">
        <v>0</v>
      </c>
      <c r="I321" s="40">
        <v>150</v>
      </c>
      <c r="J321" s="40">
        <v>1215838.73</v>
      </c>
      <c r="K321" s="21"/>
    </row>
    <row r="322" ht="97.2" hidden="1" spans="1:11">
      <c r="A322" s="21" t="s">
        <v>570</v>
      </c>
      <c r="B322" s="21" t="s">
        <v>590</v>
      </c>
      <c r="C322" s="21" t="s">
        <v>319</v>
      </c>
      <c r="D322" s="21">
        <v>10</v>
      </c>
      <c r="E322" s="21" t="s">
        <v>299</v>
      </c>
      <c r="F322" s="21" t="s">
        <v>300</v>
      </c>
      <c r="G322" s="21" t="s">
        <v>640</v>
      </c>
      <c r="H322" s="40">
        <v>0</v>
      </c>
      <c r="I322" s="40">
        <v>1056</v>
      </c>
      <c r="J322" s="40">
        <v>1214782.73</v>
      </c>
      <c r="K322" s="21"/>
    </row>
    <row r="323" ht="97.2" hidden="1" spans="1:11">
      <c r="A323" s="21" t="s">
        <v>570</v>
      </c>
      <c r="B323" s="21" t="s">
        <v>590</v>
      </c>
      <c r="C323" s="21" t="s">
        <v>319</v>
      </c>
      <c r="D323" s="21">
        <v>10</v>
      </c>
      <c r="E323" s="21" t="s">
        <v>299</v>
      </c>
      <c r="F323" s="21" t="s">
        <v>300</v>
      </c>
      <c r="G323" s="21" t="s">
        <v>641</v>
      </c>
      <c r="H323" s="40">
        <v>0</v>
      </c>
      <c r="I323" s="40">
        <v>93.75</v>
      </c>
      <c r="J323" s="40">
        <v>1214688.98</v>
      </c>
      <c r="K323" s="21"/>
    </row>
    <row r="324" ht="97.2" hidden="1" spans="1:11">
      <c r="A324" s="21" t="s">
        <v>570</v>
      </c>
      <c r="B324" s="21" t="s">
        <v>590</v>
      </c>
      <c r="C324" s="21" t="s">
        <v>319</v>
      </c>
      <c r="D324" s="21">
        <v>10</v>
      </c>
      <c r="E324" s="21" t="s">
        <v>299</v>
      </c>
      <c r="F324" s="21" t="s">
        <v>300</v>
      </c>
      <c r="G324" s="21" t="s">
        <v>642</v>
      </c>
      <c r="H324" s="40">
        <v>0</v>
      </c>
      <c r="I324" s="40">
        <v>15030.68</v>
      </c>
      <c r="J324" s="40">
        <v>1199658.3</v>
      </c>
      <c r="K324" s="21"/>
    </row>
    <row r="325" ht="97.2" hidden="1" spans="1:11">
      <c r="A325" s="21" t="s">
        <v>570</v>
      </c>
      <c r="B325" s="21" t="s">
        <v>590</v>
      </c>
      <c r="C325" s="21" t="s">
        <v>319</v>
      </c>
      <c r="D325" s="21">
        <v>10</v>
      </c>
      <c r="E325" s="21" t="s">
        <v>299</v>
      </c>
      <c r="F325" s="21" t="s">
        <v>300</v>
      </c>
      <c r="G325" s="21" t="s">
        <v>643</v>
      </c>
      <c r="H325" s="40">
        <v>0</v>
      </c>
      <c r="I325" s="40">
        <v>1336.48</v>
      </c>
      <c r="J325" s="40">
        <v>1198321.82</v>
      </c>
      <c r="K325" s="21"/>
    </row>
    <row r="326" ht="97.2" hidden="1" spans="1:11">
      <c r="A326" s="21" t="s">
        <v>570</v>
      </c>
      <c r="B326" s="21" t="s">
        <v>590</v>
      </c>
      <c r="C326" s="21" t="s">
        <v>319</v>
      </c>
      <c r="D326" s="21">
        <v>10</v>
      </c>
      <c r="E326" s="21" t="s">
        <v>299</v>
      </c>
      <c r="F326" s="21" t="s">
        <v>300</v>
      </c>
      <c r="G326" s="21" t="s">
        <v>644</v>
      </c>
      <c r="H326" s="40">
        <v>0</v>
      </c>
      <c r="I326" s="40">
        <v>679.2</v>
      </c>
      <c r="J326" s="40">
        <v>1197642.62</v>
      </c>
      <c r="K326" s="21"/>
    </row>
    <row r="327" ht="97.2" hidden="1" spans="1:11">
      <c r="A327" s="21" t="s">
        <v>570</v>
      </c>
      <c r="B327" s="21" t="s">
        <v>590</v>
      </c>
      <c r="C327" s="21" t="s">
        <v>319</v>
      </c>
      <c r="D327" s="21">
        <v>10</v>
      </c>
      <c r="E327" s="21" t="s">
        <v>299</v>
      </c>
      <c r="F327" s="21" t="s">
        <v>300</v>
      </c>
      <c r="G327" s="21" t="s">
        <v>645</v>
      </c>
      <c r="H327" s="40">
        <v>0</v>
      </c>
      <c r="I327" s="40">
        <v>1285.74</v>
      </c>
      <c r="J327" s="40">
        <v>1196356.88</v>
      </c>
      <c r="K327" s="21"/>
    </row>
    <row r="328" ht="97.2" hidden="1" spans="1:11">
      <c r="A328" s="21" t="s">
        <v>570</v>
      </c>
      <c r="B328" s="21" t="s">
        <v>590</v>
      </c>
      <c r="C328" s="21" t="s">
        <v>319</v>
      </c>
      <c r="D328" s="21">
        <v>10</v>
      </c>
      <c r="E328" s="21" t="s">
        <v>299</v>
      </c>
      <c r="F328" s="21" t="s">
        <v>300</v>
      </c>
      <c r="G328" s="21" t="s">
        <v>646</v>
      </c>
      <c r="H328" s="40">
        <v>0</v>
      </c>
      <c r="I328" s="40">
        <v>1923</v>
      </c>
      <c r="J328" s="40">
        <v>1194433.88</v>
      </c>
      <c r="K328" s="21"/>
    </row>
    <row r="329" ht="97.2" hidden="1" spans="1:11">
      <c r="A329" s="21" t="s">
        <v>570</v>
      </c>
      <c r="B329" s="21" t="s">
        <v>590</v>
      </c>
      <c r="C329" s="21" t="s">
        <v>319</v>
      </c>
      <c r="D329" s="21">
        <v>10</v>
      </c>
      <c r="E329" s="21" t="s">
        <v>299</v>
      </c>
      <c r="F329" s="21" t="s">
        <v>300</v>
      </c>
      <c r="G329" s="21" t="s">
        <v>647</v>
      </c>
      <c r="H329" s="40">
        <v>0</v>
      </c>
      <c r="I329" s="40">
        <v>633.33</v>
      </c>
      <c r="J329" s="40">
        <v>1193800.55</v>
      </c>
      <c r="K329" s="21"/>
    </row>
    <row r="330" ht="97.2" hidden="1" spans="1:11">
      <c r="A330" s="21" t="s">
        <v>570</v>
      </c>
      <c r="B330" s="21" t="s">
        <v>590</v>
      </c>
      <c r="C330" s="21" t="s">
        <v>319</v>
      </c>
      <c r="D330" s="21">
        <v>10</v>
      </c>
      <c r="E330" s="21" t="s">
        <v>299</v>
      </c>
      <c r="F330" s="21" t="s">
        <v>300</v>
      </c>
      <c r="G330" s="21" t="s">
        <v>648</v>
      </c>
      <c r="H330" s="40">
        <v>0</v>
      </c>
      <c r="I330" s="40">
        <v>188.68</v>
      </c>
      <c r="J330" s="40">
        <v>1193611.87</v>
      </c>
      <c r="K330" s="21"/>
    </row>
    <row r="331" ht="21.6" hidden="1" spans="1:11">
      <c r="A331" s="21" t="s">
        <v>570</v>
      </c>
      <c r="B331" s="21"/>
      <c r="C331" s="21"/>
      <c r="D331" s="21"/>
      <c r="E331" s="21"/>
      <c r="F331" s="21"/>
      <c r="G331" s="21" t="s">
        <v>361</v>
      </c>
      <c r="H331" s="40">
        <v>111272.84</v>
      </c>
      <c r="I331" s="40">
        <v>193486.11</v>
      </c>
      <c r="J331" s="40">
        <v>1193611.87</v>
      </c>
      <c r="K331" s="21"/>
    </row>
    <row r="332" ht="21.6" hidden="1" spans="1:11">
      <c r="A332" s="21" t="s">
        <v>570</v>
      </c>
      <c r="B332" s="21"/>
      <c r="C332" s="21"/>
      <c r="D332" s="21"/>
      <c r="E332" s="21"/>
      <c r="F332" s="21"/>
      <c r="G332" s="21" t="s">
        <v>362</v>
      </c>
      <c r="H332" s="40">
        <v>1528931.36</v>
      </c>
      <c r="I332" s="40">
        <v>917986.66</v>
      </c>
      <c r="J332" s="40">
        <v>1193611.87</v>
      </c>
      <c r="K332" s="21"/>
    </row>
    <row r="333" ht="21.6" hidden="1" spans="1:11">
      <c r="A333" s="21" t="s">
        <v>649</v>
      </c>
      <c r="B333" s="21"/>
      <c r="C333" s="21"/>
      <c r="D333" s="21"/>
      <c r="E333" s="21"/>
      <c r="F333" s="21"/>
      <c r="G333" s="21" t="s">
        <v>296</v>
      </c>
      <c r="H333" s="21"/>
      <c r="I333" s="21"/>
      <c r="J333" s="40">
        <v>1193611.87</v>
      </c>
      <c r="K333" s="21"/>
    </row>
    <row r="334" ht="86.4" hidden="1" spans="1:11">
      <c r="A334" s="21" t="s">
        <v>649</v>
      </c>
      <c r="B334" s="21" t="s">
        <v>650</v>
      </c>
      <c r="C334" s="21" t="s">
        <v>298</v>
      </c>
      <c r="D334" s="21">
        <v>2</v>
      </c>
      <c r="E334" s="21" t="s">
        <v>299</v>
      </c>
      <c r="F334" s="21" t="s">
        <v>300</v>
      </c>
      <c r="G334" s="21" t="s">
        <v>651</v>
      </c>
      <c r="H334" s="40">
        <v>64304.25</v>
      </c>
      <c r="I334" s="40">
        <v>0</v>
      </c>
      <c r="J334" s="40">
        <v>1257916.12</v>
      </c>
      <c r="K334" s="21"/>
    </row>
    <row r="335" ht="64.8" hidden="1" spans="1:11">
      <c r="A335" s="21" t="s">
        <v>649</v>
      </c>
      <c r="B335" s="21" t="s">
        <v>652</v>
      </c>
      <c r="C335" s="21" t="s">
        <v>298</v>
      </c>
      <c r="D335" s="21">
        <v>3</v>
      </c>
      <c r="E335" s="21" t="s">
        <v>299</v>
      </c>
      <c r="F335" s="21" t="s">
        <v>300</v>
      </c>
      <c r="G335" s="21" t="s">
        <v>653</v>
      </c>
      <c r="H335" s="40">
        <v>4100</v>
      </c>
      <c r="I335" s="40">
        <v>0</v>
      </c>
      <c r="J335" s="40">
        <v>1262016.12</v>
      </c>
      <c r="K335" s="21"/>
    </row>
    <row r="336" ht="64.8" hidden="1" spans="1:11">
      <c r="A336" s="21" t="s">
        <v>649</v>
      </c>
      <c r="B336" s="21" t="s">
        <v>652</v>
      </c>
      <c r="C336" s="21" t="s">
        <v>298</v>
      </c>
      <c r="D336" s="21">
        <v>3</v>
      </c>
      <c r="E336" s="21" t="s">
        <v>299</v>
      </c>
      <c r="F336" s="21" t="s">
        <v>300</v>
      </c>
      <c r="G336" s="21" t="s">
        <v>654</v>
      </c>
      <c r="H336" s="40">
        <v>2220</v>
      </c>
      <c r="I336" s="40">
        <v>0</v>
      </c>
      <c r="J336" s="40">
        <v>1264236.12</v>
      </c>
      <c r="K336" s="21"/>
    </row>
    <row r="337" ht="64.8" hidden="1" spans="1:11">
      <c r="A337" s="21" t="s">
        <v>649</v>
      </c>
      <c r="B337" s="21" t="s">
        <v>655</v>
      </c>
      <c r="C337" s="21" t="s">
        <v>298</v>
      </c>
      <c r="D337" s="21">
        <v>8</v>
      </c>
      <c r="E337" s="21" t="s">
        <v>299</v>
      </c>
      <c r="F337" s="21" t="s">
        <v>300</v>
      </c>
      <c r="G337" s="21" t="s">
        <v>656</v>
      </c>
      <c r="H337" s="40">
        <v>3418.8</v>
      </c>
      <c r="I337" s="40">
        <v>0</v>
      </c>
      <c r="J337" s="40">
        <v>1267654.92</v>
      </c>
      <c r="K337" s="21"/>
    </row>
    <row r="338" ht="64.8" hidden="1" spans="1:11">
      <c r="A338" s="21" t="s">
        <v>649</v>
      </c>
      <c r="B338" s="21" t="s">
        <v>657</v>
      </c>
      <c r="C338" s="21" t="s">
        <v>298</v>
      </c>
      <c r="D338" s="21">
        <v>9</v>
      </c>
      <c r="E338" s="21" t="s">
        <v>299</v>
      </c>
      <c r="F338" s="21" t="s">
        <v>300</v>
      </c>
      <c r="G338" s="21" t="s">
        <v>658</v>
      </c>
      <c r="H338" s="40">
        <v>17640</v>
      </c>
      <c r="I338" s="40">
        <v>0</v>
      </c>
      <c r="J338" s="40">
        <v>1285294.92</v>
      </c>
      <c r="K338" s="21"/>
    </row>
    <row r="339" ht="64.8" hidden="1" spans="1:11">
      <c r="A339" s="21" t="s">
        <v>649</v>
      </c>
      <c r="B339" s="21" t="s">
        <v>657</v>
      </c>
      <c r="C339" s="21" t="s">
        <v>298</v>
      </c>
      <c r="D339" s="21">
        <v>9</v>
      </c>
      <c r="E339" s="21" t="s">
        <v>299</v>
      </c>
      <c r="F339" s="21" t="s">
        <v>300</v>
      </c>
      <c r="G339" s="21" t="s">
        <v>659</v>
      </c>
      <c r="H339" s="40">
        <v>19943.02</v>
      </c>
      <c r="I339" s="40">
        <v>0</v>
      </c>
      <c r="J339" s="40">
        <v>1305237.94</v>
      </c>
      <c r="K339" s="21"/>
    </row>
    <row r="340" ht="64.8" hidden="1" spans="1:11">
      <c r="A340" s="21" t="s">
        <v>649</v>
      </c>
      <c r="B340" s="21" t="s">
        <v>660</v>
      </c>
      <c r="C340" s="21" t="s">
        <v>298</v>
      </c>
      <c r="D340" s="21">
        <v>10</v>
      </c>
      <c r="E340" s="21" t="s">
        <v>299</v>
      </c>
      <c r="F340" s="21" t="s">
        <v>300</v>
      </c>
      <c r="G340" s="21" t="s">
        <v>661</v>
      </c>
      <c r="H340" s="40">
        <v>9932.08</v>
      </c>
      <c r="I340" s="40">
        <v>0</v>
      </c>
      <c r="J340" s="40">
        <v>1315170.02</v>
      </c>
      <c r="K340" s="21"/>
    </row>
    <row r="341" ht="64.8" hidden="1" spans="1:11">
      <c r="A341" s="21" t="s">
        <v>649</v>
      </c>
      <c r="B341" s="21" t="s">
        <v>662</v>
      </c>
      <c r="C341" s="21" t="s">
        <v>298</v>
      </c>
      <c r="D341" s="21">
        <v>13</v>
      </c>
      <c r="E341" s="21" t="s">
        <v>299</v>
      </c>
      <c r="F341" s="21" t="s">
        <v>300</v>
      </c>
      <c r="G341" s="21" t="s">
        <v>663</v>
      </c>
      <c r="H341" s="40">
        <v>1140</v>
      </c>
      <c r="I341" s="40">
        <v>0</v>
      </c>
      <c r="J341" s="40">
        <v>1316310.02</v>
      </c>
      <c r="K341" s="21"/>
    </row>
    <row r="342" ht="64.8" hidden="1" spans="1:11">
      <c r="A342" s="21" t="s">
        <v>649</v>
      </c>
      <c r="B342" s="21" t="s">
        <v>664</v>
      </c>
      <c r="C342" s="21" t="s">
        <v>298</v>
      </c>
      <c r="D342" s="21">
        <v>17</v>
      </c>
      <c r="E342" s="21" t="s">
        <v>299</v>
      </c>
      <c r="F342" s="21" t="s">
        <v>300</v>
      </c>
      <c r="G342" s="21" t="s">
        <v>665</v>
      </c>
      <c r="H342" s="40">
        <v>3412.8</v>
      </c>
      <c r="I342" s="40">
        <v>0</v>
      </c>
      <c r="J342" s="40">
        <v>1319722.82</v>
      </c>
      <c r="K342" s="21"/>
    </row>
    <row r="343" ht="64.8" hidden="1" spans="1:11">
      <c r="A343" s="21" t="s">
        <v>649</v>
      </c>
      <c r="B343" s="21" t="s">
        <v>664</v>
      </c>
      <c r="C343" s="21" t="s">
        <v>298</v>
      </c>
      <c r="D343" s="21">
        <v>17</v>
      </c>
      <c r="E343" s="21" t="s">
        <v>299</v>
      </c>
      <c r="F343" s="21" t="s">
        <v>300</v>
      </c>
      <c r="G343" s="21" t="s">
        <v>666</v>
      </c>
      <c r="H343" s="40">
        <v>1780</v>
      </c>
      <c r="I343" s="40">
        <v>0</v>
      </c>
      <c r="J343" s="40">
        <v>1321502.82</v>
      </c>
      <c r="K343" s="21"/>
    </row>
    <row r="344" ht="64.8" hidden="1" spans="1:11">
      <c r="A344" s="21" t="s">
        <v>649</v>
      </c>
      <c r="B344" s="21" t="s">
        <v>664</v>
      </c>
      <c r="C344" s="21" t="s">
        <v>298</v>
      </c>
      <c r="D344" s="21">
        <v>17</v>
      </c>
      <c r="E344" s="21" t="s">
        <v>299</v>
      </c>
      <c r="F344" s="21" t="s">
        <v>300</v>
      </c>
      <c r="G344" s="21" t="s">
        <v>667</v>
      </c>
      <c r="H344" s="40">
        <v>5015</v>
      </c>
      <c r="I344" s="40">
        <v>0</v>
      </c>
      <c r="J344" s="40">
        <v>1326517.82</v>
      </c>
      <c r="K344" s="21"/>
    </row>
    <row r="345" ht="64.8" hidden="1" spans="1:11">
      <c r="A345" s="21" t="s">
        <v>649</v>
      </c>
      <c r="B345" s="21" t="s">
        <v>664</v>
      </c>
      <c r="C345" s="21" t="s">
        <v>298</v>
      </c>
      <c r="D345" s="21">
        <v>17</v>
      </c>
      <c r="E345" s="21" t="s">
        <v>299</v>
      </c>
      <c r="F345" s="21" t="s">
        <v>300</v>
      </c>
      <c r="G345" s="21" t="s">
        <v>668</v>
      </c>
      <c r="H345" s="40">
        <v>2262</v>
      </c>
      <c r="I345" s="40">
        <v>0</v>
      </c>
      <c r="J345" s="40">
        <v>1328779.82</v>
      </c>
      <c r="K345" s="21"/>
    </row>
    <row r="346" ht="64.8" hidden="1" spans="1:11">
      <c r="A346" s="21" t="s">
        <v>649</v>
      </c>
      <c r="B346" s="21" t="s">
        <v>664</v>
      </c>
      <c r="C346" s="21" t="s">
        <v>298</v>
      </c>
      <c r="D346" s="21">
        <v>17</v>
      </c>
      <c r="E346" s="21" t="s">
        <v>299</v>
      </c>
      <c r="F346" s="21" t="s">
        <v>300</v>
      </c>
      <c r="G346" s="21" t="s">
        <v>669</v>
      </c>
      <c r="H346" s="40">
        <v>1500</v>
      </c>
      <c r="I346" s="40">
        <v>0</v>
      </c>
      <c r="J346" s="40">
        <v>1330279.82</v>
      </c>
      <c r="K346" s="21"/>
    </row>
    <row r="347" ht="64.8" hidden="1" spans="1:11">
      <c r="A347" s="21" t="s">
        <v>649</v>
      </c>
      <c r="B347" s="21" t="s">
        <v>664</v>
      </c>
      <c r="C347" s="21" t="s">
        <v>298</v>
      </c>
      <c r="D347" s="21">
        <v>17</v>
      </c>
      <c r="E347" s="21" t="s">
        <v>299</v>
      </c>
      <c r="F347" s="21" t="s">
        <v>300</v>
      </c>
      <c r="G347" s="21" t="s">
        <v>670</v>
      </c>
      <c r="H347" s="40">
        <v>2600</v>
      </c>
      <c r="I347" s="40">
        <v>0</v>
      </c>
      <c r="J347" s="40">
        <v>1332879.82</v>
      </c>
      <c r="K347" s="21"/>
    </row>
    <row r="348" ht="43.2" hidden="1" spans="1:11">
      <c r="A348" s="21" t="s">
        <v>649</v>
      </c>
      <c r="B348" s="21" t="s">
        <v>671</v>
      </c>
      <c r="C348" s="21" t="s">
        <v>359</v>
      </c>
      <c r="D348" s="21">
        <v>2</v>
      </c>
      <c r="E348" s="21" t="s">
        <v>299</v>
      </c>
      <c r="F348" s="21" t="s">
        <v>300</v>
      </c>
      <c r="G348" s="21" t="s">
        <v>672</v>
      </c>
      <c r="H348" s="40">
        <v>16500</v>
      </c>
      <c r="I348" s="40">
        <v>0</v>
      </c>
      <c r="J348" s="40">
        <v>1349379.82</v>
      </c>
      <c r="K348" s="21"/>
    </row>
    <row r="349" ht="97.2" hidden="1" spans="1:11">
      <c r="A349" s="21" t="s">
        <v>649</v>
      </c>
      <c r="B349" s="21" t="s">
        <v>671</v>
      </c>
      <c r="C349" s="21" t="s">
        <v>319</v>
      </c>
      <c r="D349" s="21">
        <v>7</v>
      </c>
      <c r="E349" s="21" t="s">
        <v>299</v>
      </c>
      <c r="F349" s="21" t="s">
        <v>300</v>
      </c>
      <c r="G349" s="21" t="s">
        <v>673</v>
      </c>
      <c r="H349" s="40">
        <v>0</v>
      </c>
      <c r="I349" s="40">
        <v>10997.98</v>
      </c>
      <c r="J349" s="40">
        <v>1338381.84</v>
      </c>
      <c r="K349" s="21"/>
    </row>
    <row r="350" ht="97.2" hidden="1" spans="1:11">
      <c r="A350" s="21" t="s">
        <v>649</v>
      </c>
      <c r="B350" s="21" t="s">
        <v>671</v>
      </c>
      <c r="C350" s="21" t="s">
        <v>319</v>
      </c>
      <c r="D350" s="21">
        <v>7</v>
      </c>
      <c r="E350" s="21" t="s">
        <v>299</v>
      </c>
      <c r="F350" s="21" t="s">
        <v>300</v>
      </c>
      <c r="G350" s="21" t="s">
        <v>674</v>
      </c>
      <c r="H350" s="40">
        <v>0</v>
      </c>
      <c r="I350" s="40">
        <v>2208.26</v>
      </c>
      <c r="J350" s="40">
        <v>1336173.58</v>
      </c>
      <c r="K350" s="21"/>
    </row>
    <row r="351" ht="97.2" hidden="1" spans="1:11">
      <c r="A351" s="21" t="s">
        <v>649</v>
      </c>
      <c r="B351" s="21" t="s">
        <v>671</v>
      </c>
      <c r="C351" s="21" t="s">
        <v>319</v>
      </c>
      <c r="D351" s="21">
        <v>7</v>
      </c>
      <c r="E351" s="21" t="s">
        <v>299</v>
      </c>
      <c r="F351" s="21" t="s">
        <v>300</v>
      </c>
      <c r="G351" s="21" t="s">
        <v>675</v>
      </c>
      <c r="H351" s="40">
        <v>0</v>
      </c>
      <c r="I351" s="40">
        <v>2207.98</v>
      </c>
      <c r="J351" s="40">
        <v>1333965.6</v>
      </c>
      <c r="K351" s="21"/>
    </row>
    <row r="352" ht="97.2" hidden="1" spans="1:11">
      <c r="A352" s="21" t="s">
        <v>649</v>
      </c>
      <c r="B352" s="21" t="s">
        <v>671</v>
      </c>
      <c r="C352" s="21" t="s">
        <v>319</v>
      </c>
      <c r="D352" s="21">
        <v>7</v>
      </c>
      <c r="E352" s="21" t="s">
        <v>299</v>
      </c>
      <c r="F352" s="21" t="s">
        <v>300</v>
      </c>
      <c r="G352" s="21" t="s">
        <v>676</v>
      </c>
      <c r="H352" s="40">
        <v>0</v>
      </c>
      <c r="I352" s="40">
        <v>2492.88</v>
      </c>
      <c r="J352" s="40">
        <v>1331472.72</v>
      </c>
      <c r="K352" s="21"/>
    </row>
    <row r="353" ht="97.2" hidden="1" spans="1:11">
      <c r="A353" s="21" t="s">
        <v>649</v>
      </c>
      <c r="B353" s="21" t="s">
        <v>671</v>
      </c>
      <c r="C353" s="21" t="s">
        <v>319</v>
      </c>
      <c r="D353" s="21">
        <v>7</v>
      </c>
      <c r="E353" s="21" t="s">
        <v>299</v>
      </c>
      <c r="F353" s="21" t="s">
        <v>300</v>
      </c>
      <c r="G353" s="21" t="s">
        <v>677</v>
      </c>
      <c r="H353" s="40">
        <v>0</v>
      </c>
      <c r="I353" s="40">
        <v>2136.75</v>
      </c>
      <c r="J353" s="40">
        <v>1329335.97</v>
      </c>
      <c r="K353" s="21"/>
    </row>
    <row r="354" ht="97.2" hidden="1" spans="1:11">
      <c r="A354" s="21" t="s">
        <v>649</v>
      </c>
      <c r="B354" s="21" t="s">
        <v>671</v>
      </c>
      <c r="C354" s="21" t="s">
        <v>319</v>
      </c>
      <c r="D354" s="21">
        <v>7</v>
      </c>
      <c r="E354" s="21" t="s">
        <v>299</v>
      </c>
      <c r="F354" s="21" t="s">
        <v>300</v>
      </c>
      <c r="G354" s="21" t="s">
        <v>678</v>
      </c>
      <c r="H354" s="40">
        <v>0</v>
      </c>
      <c r="I354" s="40">
        <v>2301.99</v>
      </c>
      <c r="J354" s="40">
        <v>1327033.98</v>
      </c>
      <c r="K354" s="21"/>
    </row>
    <row r="355" ht="97.2" hidden="1" spans="1:11">
      <c r="A355" s="21" t="s">
        <v>649</v>
      </c>
      <c r="B355" s="21" t="s">
        <v>671</v>
      </c>
      <c r="C355" s="21" t="s">
        <v>319</v>
      </c>
      <c r="D355" s="21">
        <v>7</v>
      </c>
      <c r="E355" s="21" t="s">
        <v>299</v>
      </c>
      <c r="F355" s="21" t="s">
        <v>300</v>
      </c>
      <c r="G355" s="21" t="s">
        <v>679</v>
      </c>
      <c r="H355" s="40">
        <v>0</v>
      </c>
      <c r="I355" s="40">
        <v>4666.81</v>
      </c>
      <c r="J355" s="40">
        <v>1322367.17</v>
      </c>
      <c r="K355" s="21"/>
    </row>
    <row r="356" ht="97.2" hidden="1" spans="1:11">
      <c r="A356" s="21" t="s">
        <v>649</v>
      </c>
      <c r="B356" s="21" t="s">
        <v>671</v>
      </c>
      <c r="C356" s="21" t="s">
        <v>319</v>
      </c>
      <c r="D356" s="21">
        <v>7</v>
      </c>
      <c r="E356" s="21" t="s">
        <v>299</v>
      </c>
      <c r="F356" s="21" t="s">
        <v>300</v>
      </c>
      <c r="G356" s="21" t="s">
        <v>680</v>
      </c>
      <c r="H356" s="40">
        <v>0</v>
      </c>
      <c r="I356" s="40">
        <v>8832.12</v>
      </c>
      <c r="J356" s="40">
        <v>1313535.05</v>
      </c>
      <c r="K356" s="21"/>
    </row>
    <row r="357" ht="97.2" hidden="1" spans="1:11">
      <c r="A357" s="21" t="s">
        <v>649</v>
      </c>
      <c r="B357" s="21" t="s">
        <v>671</v>
      </c>
      <c r="C357" s="21" t="s">
        <v>319</v>
      </c>
      <c r="D357" s="21">
        <v>7</v>
      </c>
      <c r="E357" s="21" t="s">
        <v>299</v>
      </c>
      <c r="F357" s="21" t="s">
        <v>300</v>
      </c>
      <c r="G357" s="21" t="s">
        <v>681</v>
      </c>
      <c r="H357" s="40">
        <v>0</v>
      </c>
      <c r="I357" s="40">
        <v>628.93</v>
      </c>
      <c r="J357" s="40">
        <v>1312906.12</v>
      </c>
      <c r="K357" s="21"/>
    </row>
    <row r="358" ht="97.2" hidden="1" spans="1:11">
      <c r="A358" s="21" t="s">
        <v>649</v>
      </c>
      <c r="B358" s="21" t="s">
        <v>671</v>
      </c>
      <c r="C358" s="21" t="s">
        <v>319</v>
      </c>
      <c r="D358" s="21">
        <v>7</v>
      </c>
      <c r="E358" s="21" t="s">
        <v>299</v>
      </c>
      <c r="F358" s="21" t="s">
        <v>300</v>
      </c>
      <c r="G358" s="21" t="s">
        <v>682</v>
      </c>
      <c r="H358" s="40">
        <v>0</v>
      </c>
      <c r="I358" s="40">
        <v>1257.12</v>
      </c>
      <c r="J358" s="40">
        <v>1311649</v>
      </c>
      <c r="K358" s="21"/>
    </row>
    <row r="359" ht="97.2" hidden="1" spans="1:11">
      <c r="A359" s="21" t="s">
        <v>649</v>
      </c>
      <c r="B359" s="21" t="s">
        <v>671</v>
      </c>
      <c r="C359" s="21" t="s">
        <v>319</v>
      </c>
      <c r="D359" s="21">
        <v>7</v>
      </c>
      <c r="E359" s="21" t="s">
        <v>299</v>
      </c>
      <c r="F359" s="21" t="s">
        <v>300</v>
      </c>
      <c r="G359" s="21" t="s">
        <v>683</v>
      </c>
      <c r="H359" s="40">
        <v>0</v>
      </c>
      <c r="I359" s="40">
        <v>341.88</v>
      </c>
      <c r="J359" s="40">
        <v>1311307.12</v>
      </c>
      <c r="K359" s="21"/>
    </row>
    <row r="360" ht="97.2" hidden="1" spans="1:11">
      <c r="A360" s="21" t="s">
        <v>649</v>
      </c>
      <c r="B360" s="21" t="s">
        <v>671</v>
      </c>
      <c r="C360" s="21" t="s">
        <v>319</v>
      </c>
      <c r="D360" s="21">
        <v>7</v>
      </c>
      <c r="E360" s="21" t="s">
        <v>299</v>
      </c>
      <c r="F360" s="21" t="s">
        <v>300</v>
      </c>
      <c r="G360" s="21" t="s">
        <v>684</v>
      </c>
      <c r="H360" s="40">
        <v>0</v>
      </c>
      <c r="I360" s="40">
        <v>853.29</v>
      </c>
      <c r="J360" s="40">
        <v>1310453.83</v>
      </c>
      <c r="K360" s="21"/>
    </row>
    <row r="361" ht="97.2" hidden="1" spans="1:11">
      <c r="A361" s="21" t="s">
        <v>649</v>
      </c>
      <c r="B361" s="21" t="s">
        <v>671</v>
      </c>
      <c r="C361" s="21" t="s">
        <v>319</v>
      </c>
      <c r="D361" s="21">
        <v>7</v>
      </c>
      <c r="E361" s="21" t="s">
        <v>299</v>
      </c>
      <c r="F361" s="21" t="s">
        <v>300</v>
      </c>
      <c r="G361" s="21" t="s">
        <v>685</v>
      </c>
      <c r="H361" s="40">
        <v>0</v>
      </c>
      <c r="I361" s="40">
        <v>436.61</v>
      </c>
      <c r="J361" s="40">
        <v>1310017.22</v>
      </c>
      <c r="K361" s="21"/>
    </row>
    <row r="362" ht="97.2" hidden="1" spans="1:11">
      <c r="A362" s="21" t="s">
        <v>649</v>
      </c>
      <c r="B362" s="21" t="s">
        <v>671</v>
      </c>
      <c r="C362" s="21" t="s">
        <v>319</v>
      </c>
      <c r="D362" s="21">
        <v>7</v>
      </c>
      <c r="E362" s="21" t="s">
        <v>299</v>
      </c>
      <c r="F362" s="21" t="s">
        <v>300</v>
      </c>
      <c r="G362" s="21" t="s">
        <v>686</v>
      </c>
      <c r="H362" s="40">
        <v>0</v>
      </c>
      <c r="I362" s="40">
        <v>569.8</v>
      </c>
      <c r="J362" s="40">
        <v>1309447.42</v>
      </c>
      <c r="K362" s="21"/>
    </row>
    <row r="363" ht="97.2" hidden="1" spans="1:11">
      <c r="A363" s="21" t="s">
        <v>649</v>
      </c>
      <c r="B363" s="21" t="s">
        <v>671</v>
      </c>
      <c r="C363" s="21" t="s">
        <v>319</v>
      </c>
      <c r="D363" s="21">
        <v>7</v>
      </c>
      <c r="E363" s="21" t="s">
        <v>299</v>
      </c>
      <c r="F363" s="21" t="s">
        <v>300</v>
      </c>
      <c r="G363" s="21" t="s">
        <v>687</v>
      </c>
      <c r="H363" s="40">
        <v>0</v>
      </c>
      <c r="I363" s="40">
        <v>900</v>
      </c>
      <c r="J363" s="40">
        <v>1308547.42</v>
      </c>
      <c r="K363" s="21"/>
    </row>
    <row r="364" ht="97.2" hidden="1" spans="1:11">
      <c r="A364" s="21" t="s">
        <v>649</v>
      </c>
      <c r="B364" s="21" t="s">
        <v>671</v>
      </c>
      <c r="C364" s="21" t="s">
        <v>319</v>
      </c>
      <c r="D364" s="21">
        <v>7</v>
      </c>
      <c r="E364" s="21" t="s">
        <v>299</v>
      </c>
      <c r="F364" s="21" t="s">
        <v>300</v>
      </c>
      <c r="G364" s="21" t="s">
        <v>688</v>
      </c>
      <c r="H364" s="40">
        <v>0</v>
      </c>
      <c r="I364" s="40">
        <v>356.39</v>
      </c>
      <c r="J364" s="40">
        <v>1308191.03</v>
      </c>
      <c r="K364" s="21"/>
    </row>
    <row r="365" ht="97.2" hidden="1" spans="1:11">
      <c r="A365" s="21" t="s">
        <v>649</v>
      </c>
      <c r="B365" s="21" t="s">
        <v>671</v>
      </c>
      <c r="C365" s="21" t="s">
        <v>319</v>
      </c>
      <c r="D365" s="21">
        <v>7</v>
      </c>
      <c r="E365" s="21" t="s">
        <v>299</v>
      </c>
      <c r="F365" s="21" t="s">
        <v>300</v>
      </c>
      <c r="G365" s="21" t="s">
        <v>689</v>
      </c>
      <c r="H365" s="40">
        <v>0</v>
      </c>
      <c r="I365" s="40">
        <v>162</v>
      </c>
      <c r="J365" s="40">
        <v>1308029.03</v>
      </c>
      <c r="K365" s="21"/>
    </row>
    <row r="366" ht="97.2" hidden="1" spans="1:11">
      <c r="A366" s="21" t="s">
        <v>649</v>
      </c>
      <c r="B366" s="21" t="s">
        <v>671</v>
      </c>
      <c r="C366" s="21" t="s">
        <v>319</v>
      </c>
      <c r="D366" s="21">
        <v>7</v>
      </c>
      <c r="E366" s="21" t="s">
        <v>299</v>
      </c>
      <c r="F366" s="21" t="s">
        <v>300</v>
      </c>
      <c r="G366" s="21" t="s">
        <v>690</v>
      </c>
      <c r="H366" s="40">
        <v>0</v>
      </c>
      <c r="I366" s="40">
        <v>7648.98</v>
      </c>
      <c r="J366" s="40">
        <v>1300380.05</v>
      </c>
      <c r="K366" s="21"/>
    </row>
    <row r="367" ht="97.2" hidden="1" spans="1:11">
      <c r="A367" s="21" t="s">
        <v>649</v>
      </c>
      <c r="B367" s="21" t="s">
        <v>671</v>
      </c>
      <c r="C367" s="21" t="s">
        <v>319</v>
      </c>
      <c r="D367" s="21">
        <v>7</v>
      </c>
      <c r="E367" s="21" t="s">
        <v>299</v>
      </c>
      <c r="F367" s="21" t="s">
        <v>300</v>
      </c>
      <c r="G367" s="21" t="s">
        <v>691</v>
      </c>
      <c r="H367" s="40">
        <v>0</v>
      </c>
      <c r="I367" s="40">
        <v>1507.84</v>
      </c>
      <c r="J367" s="40">
        <v>1298872.21</v>
      </c>
      <c r="K367" s="21"/>
    </row>
    <row r="368" ht="97.2" hidden="1" spans="1:11">
      <c r="A368" s="21" t="s">
        <v>649</v>
      </c>
      <c r="B368" s="21" t="s">
        <v>671</v>
      </c>
      <c r="C368" s="21" t="s">
        <v>319</v>
      </c>
      <c r="D368" s="21">
        <v>7</v>
      </c>
      <c r="E368" s="21" t="s">
        <v>299</v>
      </c>
      <c r="F368" s="21" t="s">
        <v>300</v>
      </c>
      <c r="G368" s="21" t="s">
        <v>692</v>
      </c>
      <c r="H368" s="40">
        <v>0</v>
      </c>
      <c r="I368" s="40">
        <v>6124.21</v>
      </c>
      <c r="J368" s="40">
        <v>1292748</v>
      </c>
      <c r="K368" s="21"/>
    </row>
    <row r="369" ht="97.2" hidden="1" spans="1:11">
      <c r="A369" s="21" t="s">
        <v>649</v>
      </c>
      <c r="B369" s="21" t="s">
        <v>671</v>
      </c>
      <c r="C369" s="21" t="s">
        <v>319</v>
      </c>
      <c r="D369" s="21">
        <v>7</v>
      </c>
      <c r="E369" s="21" t="s">
        <v>299</v>
      </c>
      <c r="F369" s="21" t="s">
        <v>300</v>
      </c>
      <c r="G369" s="21" t="s">
        <v>693</v>
      </c>
      <c r="H369" s="40">
        <v>0</v>
      </c>
      <c r="I369" s="40">
        <v>1813</v>
      </c>
      <c r="J369" s="40">
        <v>1290935</v>
      </c>
      <c r="K369" s="21"/>
    </row>
    <row r="370" ht="97.2" hidden="1" spans="1:11">
      <c r="A370" s="21" t="s">
        <v>649</v>
      </c>
      <c r="B370" s="21" t="s">
        <v>671</v>
      </c>
      <c r="C370" s="21" t="s">
        <v>319</v>
      </c>
      <c r="D370" s="21">
        <v>13</v>
      </c>
      <c r="E370" s="21" t="s">
        <v>299</v>
      </c>
      <c r="F370" s="21" t="s">
        <v>300</v>
      </c>
      <c r="G370" s="21" t="s">
        <v>694</v>
      </c>
      <c r="H370" s="40">
        <v>7620</v>
      </c>
      <c r="I370" s="40">
        <v>0</v>
      </c>
      <c r="J370" s="40">
        <v>1298555</v>
      </c>
      <c r="K370" s="21"/>
    </row>
    <row r="371" ht="97.2" hidden="1" spans="1:11">
      <c r="A371" s="21" t="s">
        <v>649</v>
      </c>
      <c r="B371" s="21" t="s">
        <v>671</v>
      </c>
      <c r="C371" s="21" t="s">
        <v>319</v>
      </c>
      <c r="D371" s="21">
        <v>13</v>
      </c>
      <c r="E371" s="21" t="s">
        <v>299</v>
      </c>
      <c r="F371" s="21" t="s">
        <v>300</v>
      </c>
      <c r="G371" s="21" t="s">
        <v>695</v>
      </c>
      <c r="H371" s="40">
        <v>7413.34</v>
      </c>
      <c r="I371" s="40">
        <v>0</v>
      </c>
      <c r="J371" s="40">
        <v>1305968.34</v>
      </c>
      <c r="K371" s="21"/>
    </row>
    <row r="372" ht="97.2" hidden="1" spans="1:11">
      <c r="A372" s="21" t="s">
        <v>649</v>
      </c>
      <c r="B372" s="21" t="s">
        <v>671</v>
      </c>
      <c r="C372" s="21" t="s">
        <v>319</v>
      </c>
      <c r="D372" s="21">
        <v>13</v>
      </c>
      <c r="E372" s="21" t="s">
        <v>299</v>
      </c>
      <c r="F372" s="21" t="s">
        <v>300</v>
      </c>
      <c r="G372" s="21" t="s">
        <v>696</v>
      </c>
      <c r="H372" s="40">
        <v>8543.73</v>
      </c>
      <c r="I372" s="40">
        <v>0</v>
      </c>
      <c r="J372" s="40">
        <v>1314512.07</v>
      </c>
      <c r="K372" s="21"/>
    </row>
    <row r="373" ht="97.2" hidden="1" spans="1:11">
      <c r="A373" s="21" t="s">
        <v>649</v>
      </c>
      <c r="B373" s="21" t="s">
        <v>671</v>
      </c>
      <c r="C373" s="21" t="s">
        <v>319</v>
      </c>
      <c r="D373" s="21">
        <v>13</v>
      </c>
      <c r="E373" s="21" t="s">
        <v>299</v>
      </c>
      <c r="F373" s="21" t="s">
        <v>300</v>
      </c>
      <c r="G373" s="21" t="s">
        <v>697</v>
      </c>
      <c r="H373" s="40">
        <v>7263.27</v>
      </c>
      <c r="I373" s="40">
        <v>0</v>
      </c>
      <c r="J373" s="40">
        <v>1321775.34</v>
      </c>
      <c r="K373" s="21"/>
    </row>
    <row r="374" ht="97.2" hidden="1" spans="1:11">
      <c r="A374" s="21" t="s">
        <v>649</v>
      </c>
      <c r="B374" s="21" t="s">
        <v>671</v>
      </c>
      <c r="C374" s="21" t="s">
        <v>319</v>
      </c>
      <c r="D374" s="21">
        <v>13</v>
      </c>
      <c r="E374" s="21" t="s">
        <v>299</v>
      </c>
      <c r="F374" s="21" t="s">
        <v>300</v>
      </c>
      <c r="G374" s="21" t="s">
        <v>698</v>
      </c>
      <c r="H374" s="40">
        <v>5684.67</v>
      </c>
      <c r="I374" s="40">
        <v>0</v>
      </c>
      <c r="J374" s="40">
        <v>1327460.01</v>
      </c>
      <c r="K374" s="21"/>
    </row>
    <row r="375" ht="97.2" hidden="1" spans="1:11">
      <c r="A375" s="21" t="s">
        <v>649</v>
      </c>
      <c r="B375" s="21" t="s">
        <v>671</v>
      </c>
      <c r="C375" s="21" t="s">
        <v>319</v>
      </c>
      <c r="D375" s="21">
        <v>13</v>
      </c>
      <c r="E375" s="21" t="s">
        <v>299</v>
      </c>
      <c r="F375" s="21" t="s">
        <v>300</v>
      </c>
      <c r="G375" s="21" t="s">
        <v>699</v>
      </c>
      <c r="H375" s="40">
        <v>20284.22</v>
      </c>
      <c r="I375" s="40">
        <v>0</v>
      </c>
      <c r="J375" s="40">
        <v>1347744.23</v>
      </c>
      <c r="K375" s="21"/>
    </row>
    <row r="376" ht="97.2" hidden="1" spans="1:11">
      <c r="A376" s="21" t="s">
        <v>649</v>
      </c>
      <c r="B376" s="21" t="s">
        <v>671</v>
      </c>
      <c r="C376" s="21" t="s">
        <v>319</v>
      </c>
      <c r="D376" s="21">
        <v>8</v>
      </c>
      <c r="E376" s="21" t="s">
        <v>299</v>
      </c>
      <c r="F376" s="21" t="s">
        <v>300</v>
      </c>
      <c r="G376" s="21" t="s">
        <v>700</v>
      </c>
      <c r="H376" s="40">
        <v>0</v>
      </c>
      <c r="I376" s="40">
        <v>2849</v>
      </c>
      <c r="J376" s="40">
        <v>1344895.23</v>
      </c>
      <c r="K376" s="21"/>
    </row>
    <row r="377" ht="97.2" hidden="1" spans="1:11">
      <c r="A377" s="21" t="s">
        <v>649</v>
      </c>
      <c r="B377" s="21" t="s">
        <v>671</v>
      </c>
      <c r="C377" s="21" t="s">
        <v>319</v>
      </c>
      <c r="D377" s="21">
        <v>8</v>
      </c>
      <c r="E377" s="21" t="s">
        <v>299</v>
      </c>
      <c r="F377" s="21" t="s">
        <v>300</v>
      </c>
      <c r="G377" s="21" t="s">
        <v>701</v>
      </c>
      <c r="H377" s="40">
        <v>0</v>
      </c>
      <c r="I377" s="40">
        <v>433.33</v>
      </c>
      <c r="J377" s="40">
        <v>1344461.9</v>
      </c>
      <c r="K377" s="21"/>
    </row>
    <row r="378" ht="97.2" hidden="1" spans="1:11">
      <c r="A378" s="21" t="s">
        <v>649</v>
      </c>
      <c r="B378" s="21" t="s">
        <v>671</v>
      </c>
      <c r="C378" s="21" t="s">
        <v>319</v>
      </c>
      <c r="D378" s="21">
        <v>8</v>
      </c>
      <c r="E378" s="21" t="s">
        <v>299</v>
      </c>
      <c r="F378" s="21" t="s">
        <v>300</v>
      </c>
      <c r="G378" s="21" t="s">
        <v>702</v>
      </c>
      <c r="H378" s="40">
        <v>0</v>
      </c>
      <c r="I378" s="40">
        <v>32239.39</v>
      </c>
      <c r="J378" s="40">
        <v>1312222.51</v>
      </c>
      <c r="K378" s="21"/>
    </row>
    <row r="379" ht="97.2" hidden="1" spans="1:11">
      <c r="A379" s="21" t="s">
        <v>649</v>
      </c>
      <c r="B379" s="21" t="s">
        <v>671</v>
      </c>
      <c r="C379" s="21" t="s">
        <v>319</v>
      </c>
      <c r="D379" s="21">
        <v>8</v>
      </c>
      <c r="E379" s="21" t="s">
        <v>299</v>
      </c>
      <c r="F379" s="21" t="s">
        <v>300</v>
      </c>
      <c r="G379" s="21" t="s">
        <v>703</v>
      </c>
      <c r="H379" s="40">
        <v>0</v>
      </c>
      <c r="I379" s="40">
        <v>4455.85</v>
      </c>
      <c r="J379" s="40">
        <v>1307766.66</v>
      </c>
      <c r="K379" s="21"/>
    </row>
    <row r="380" ht="97.2" hidden="1" spans="1:11">
      <c r="A380" s="21" t="s">
        <v>649</v>
      </c>
      <c r="B380" s="21" t="s">
        <v>671</v>
      </c>
      <c r="C380" s="21" t="s">
        <v>319</v>
      </c>
      <c r="D380" s="21">
        <v>8</v>
      </c>
      <c r="E380" s="21" t="s">
        <v>299</v>
      </c>
      <c r="F380" s="21" t="s">
        <v>300</v>
      </c>
      <c r="G380" s="21" t="s">
        <v>704</v>
      </c>
      <c r="H380" s="40">
        <v>0</v>
      </c>
      <c r="I380" s="40">
        <v>2908.81</v>
      </c>
      <c r="J380" s="40">
        <v>1304857.85</v>
      </c>
      <c r="K380" s="21"/>
    </row>
    <row r="381" ht="97.2" hidden="1" spans="1:11">
      <c r="A381" s="21" t="s">
        <v>649</v>
      </c>
      <c r="B381" s="21" t="s">
        <v>671</v>
      </c>
      <c r="C381" s="21" t="s">
        <v>319</v>
      </c>
      <c r="D381" s="21">
        <v>8</v>
      </c>
      <c r="E381" s="21" t="s">
        <v>299</v>
      </c>
      <c r="F381" s="21" t="s">
        <v>300</v>
      </c>
      <c r="G381" s="21" t="s">
        <v>705</v>
      </c>
      <c r="H381" s="40">
        <v>0</v>
      </c>
      <c r="I381" s="40">
        <v>609.33</v>
      </c>
      <c r="J381" s="40">
        <v>1304248.52</v>
      </c>
      <c r="K381" s="21"/>
    </row>
    <row r="382" ht="97.2" hidden="1" spans="1:11">
      <c r="A382" s="21" t="s">
        <v>649</v>
      </c>
      <c r="B382" s="21" t="s">
        <v>671</v>
      </c>
      <c r="C382" s="21" t="s">
        <v>319</v>
      </c>
      <c r="D382" s="21">
        <v>8</v>
      </c>
      <c r="E382" s="21" t="s">
        <v>299</v>
      </c>
      <c r="F382" s="21" t="s">
        <v>300</v>
      </c>
      <c r="G382" s="21" t="s">
        <v>706</v>
      </c>
      <c r="H382" s="40">
        <v>0</v>
      </c>
      <c r="I382" s="40">
        <v>1433.33</v>
      </c>
      <c r="J382" s="40">
        <v>1302815.19</v>
      </c>
      <c r="K382" s="21"/>
    </row>
    <row r="383" ht="97.2" hidden="1" spans="1:11">
      <c r="A383" s="21" t="s">
        <v>649</v>
      </c>
      <c r="B383" s="21" t="s">
        <v>671</v>
      </c>
      <c r="C383" s="21" t="s">
        <v>319</v>
      </c>
      <c r="D383" s="21">
        <v>8</v>
      </c>
      <c r="E383" s="21" t="s">
        <v>299</v>
      </c>
      <c r="F383" s="21" t="s">
        <v>300</v>
      </c>
      <c r="G383" s="21" t="s">
        <v>707</v>
      </c>
      <c r="H383" s="40">
        <v>0</v>
      </c>
      <c r="I383" s="40">
        <v>2358.49</v>
      </c>
      <c r="J383" s="40">
        <v>1300456.7</v>
      </c>
      <c r="K383" s="21"/>
    </row>
    <row r="384" ht="97.2" hidden="1" spans="1:11">
      <c r="A384" s="21" t="s">
        <v>649</v>
      </c>
      <c r="B384" s="21" t="s">
        <v>671</v>
      </c>
      <c r="C384" s="21" t="s">
        <v>319</v>
      </c>
      <c r="D384" s="21">
        <v>8</v>
      </c>
      <c r="E384" s="21" t="s">
        <v>299</v>
      </c>
      <c r="F384" s="21" t="s">
        <v>300</v>
      </c>
      <c r="G384" s="21" t="s">
        <v>708</v>
      </c>
      <c r="H384" s="40">
        <v>0</v>
      </c>
      <c r="I384" s="40">
        <v>289.08</v>
      </c>
      <c r="J384" s="40">
        <v>1300167.62</v>
      </c>
      <c r="K384" s="21"/>
    </row>
    <row r="385" ht="97.2" hidden="1" spans="1:11">
      <c r="A385" s="21" t="s">
        <v>649</v>
      </c>
      <c r="B385" s="21" t="s">
        <v>671</v>
      </c>
      <c r="C385" s="21" t="s">
        <v>319</v>
      </c>
      <c r="D385" s="21">
        <v>8</v>
      </c>
      <c r="E385" s="21" t="s">
        <v>299</v>
      </c>
      <c r="F385" s="21" t="s">
        <v>300</v>
      </c>
      <c r="G385" s="21" t="s">
        <v>709</v>
      </c>
      <c r="H385" s="40">
        <v>0</v>
      </c>
      <c r="I385" s="40">
        <v>6261.39</v>
      </c>
      <c r="J385" s="40">
        <v>1293906.23</v>
      </c>
      <c r="K385" s="21"/>
    </row>
    <row r="386" ht="97.2" hidden="1" spans="1:11">
      <c r="A386" s="21" t="s">
        <v>649</v>
      </c>
      <c r="B386" s="21" t="s">
        <v>671</v>
      </c>
      <c r="C386" s="21" t="s">
        <v>319</v>
      </c>
      <c r="D386" s="21">
        <v>8</v>
      </c>
      <c r="E386" s="21" t="s">
        <v>299</v>
      </c>
      <c r="F386" s="21" t="s">
        <v>300</v>
      </c>
      <c r="G386" s="21" t="s">
        <v>710</v>
      </c>
      <c r="H386" s="40">
        <v>0</v>
      </c>
      <c r="I386" s="40">
        <v>800</v>
      </c>
      <c r="J386" s="40">
        <v>1293106.23</v>
      </c>
      <c r="K386" s="21"/>
    </row>
    <row r="387" ht="97.2" hidden="1" spans="1:11">
      <c r="A387" s="21" t="s">
        <v>649</v>
      </c>
      <c r="B387" s="21" t="s">
        <v>671</v>
      </c>
      <c r="C387" s="21" t="s">
        <v>319</v>
      </c>
      <c r="D387" s="21">
        <v>8</v>
      </c>
      <c r="E387" s="21" t="s">
        <v>299</v>
      </c>
      <c r="F387" s="21" t="s">
        <v>300</v>
      </c>
      <c r="G387" s="21" t="s">
        <v>711</v>
      </c>
      <c r="H387" s="40">
        <v>0</v>
      </c>
      <c r="I387" s="40">
        <v>5396.22</v>
      </c>
      <c r="J387" s="40">
        <v>1287710.01</v>
      </c>
      <c r="K387" s="21"/>
    </row>
    <row r="388" ht="97.2" hidden="1" spans="1:11">
      <c r="A388" s="21" t="s">
        <v>649</v>
      </c>
      <c r="B388" s="21" t="s">
        <v>671</v>
      </c>
      <c r="C388" s="21" t="s">
        <v>319</v>
      </c>
      <c r="D388" s="21">
        <v>8</v>
      </c>
      <c r="E388" s="21" t="s">
        <v>299</v>
      </c>
      <c r="F388" s="21" t="s">
        <v>300</v>
      </c>
      <c r="G388" s="21" t="s">
        <v>712</v>
      </c>
      <c r="H388" s="40">
        <v>0</v>
      </c>
      <c r="I388" s="40">
        <v>664.84</v>
      </c>
      <c r="J388" s="40">
        <v>1287045.17</v>
      </c>
      <c r="K388" s="21"/>
    </row>
    <row r="389" ht="97.2" hidden="1" spans="1:11">
      <c r="A389" s="21" t="s">
        <v>649</v>
      </c>
      <c r="B389" s="21" t="s">
        <v>671</v>
      </c>
      <c r="C389" s="21" t="s">
        <v>319</v>
      </c>
      <c r="D389" s="21">
        <v>8</v>
      </c>
      <c r="E389" s="21" t="s">
        <v>299</v>
      </c>
      <c r="F389" s="21" t="s">
        <v>300</v>
      </c>
      <c r="G389" s="21" t="s">
        <v>713</v>
      </c>
      <c r="H389" s="40">
        <v>0</v>
      </c>
      <c r="I389" s="40">
        <v>1000</v>
      </c>
      <c r="J389" s="40">
        <v>1286045.17</v>
      </c>
      <c r="K389" s="21"/>
    </row>
    <row r="390" ht="97.2" hidden="1" spans="1:11">
      <c r="A390" s="21" t="s">
        <v>649</v>
      </c>
      <c r="B390" s="21" t="s">
        <v>671</v>
      </c>
      <c r="C390" s="21" t="s">
        <v>319</v>
      </c>
      <c r="D390" s="21">
        <v>8</v>
      </c>
      <c r="E390" s="21" t="s">
        <v>299</v>
      </c>
      <c r="F390" s="21" t="s">
        <v>300</v>
      </c>
      <c r="G390" s="21" t="s">
        <v>460</v>
      </c>
      <c r="H390" s="40">
        <v>0</v>
      </c>
      <c r="I390" s="40">
        <v>291</v>
      </c>
      <c r="J390" s="40">
        <v>1285754.17</v>
      </c>
      <c r="K390" s="21"/>
    </row>
    <row r="391" ht="97.2" hidden="1" spans="1:11">
      <c r="A391" s="21" t="s">
        <v>649</v>
      </c>
      <c r="B391" s="21" t="s">
        <v>671</v>
      </c>
      <c r="C391" s="21" t="s">
        <v>319</v>
      </c>
      <c r="D391" s="21">
        <v>8</v>
      </c>
      <c r="E391" s="21" t="s">
        <v>299</v>
      </c>
      <c r="F391" s="21" t="s">
        <v>300</v>
      </c>
      <c r="G391" s="21" t="s">
        <v>714</v>
      </c>
      <c r="H391" s="40">
        <v>0</v>
      </c>
      <c r="I391" s="40">
        <v>1779.94</v>
      </c>
      <c r="J391" s="40">
        <v>1283974.23</v>
      </c>
      <c r="K391" s="21"/>
    </row>
    <row r="392" ht="97.2" hidden="1" spans="1:11">
      <c r="A392" s="21" t="s">
        <v>649</v>
      </c>
      <c r="B392" s="21" t="s">
        <v>671</v>
      </c>
      <c r="C392" s="21" t="s">
        <v>319</v>
      </c>
      <c r="D392" s="21">
        <v>8</v>
      </c>
      <c r="E392" s="21" t="s">
        <v>299</v>
      </c>
      <c r="F392" s="21" t="s">
        <v>300</v>
      </c>
      <c r="G392" s="21" t="s">
        <v>715</v>
      </c>
      <c r="H392" s="40">
        <v>0</v>
      </c>
      <c r="I392" s="40">
        <v>6432.25</v>
      </c>
      <c r="J392" s="40">
        <v>1277541.98</v>
      </c>
      <c r="K392" s="21"/>
    </row>
    <row r="393" ht="97.2" hidden="1" spans="1:11">
      <c r="A393" s="21" t="s">
        <v>649</v>
      </c>
      <c r="B393" s="21" t="s">
        <v>671</v>
      </c>
      <c r="C393" s="21" t="s">
        <v>319</v>
      </c>
      <c r="D393" s="21">
        <v>8</v>
      </c>
      <c r="E393" s="21" t="s">
        <v>299</v>
      </c>
      <c r="F393" s="21" t="s">
        <v>300</v>
      </c>
      <c r="G393" s="21" t="s">
        <v>415</v>
      </c>
      <c r="H393" s="40">
        <v>0</v>
      </c>
      <c r="I393" s="40">
        <v>807.86</v>
      </c>
      <c r="J393" s="40">
        <v>1276734.12</v>
      </c>
      <c r="K393" s="21"/>
    </row>
    <row r="394" ht="97.2" hidden="1" spans="1:11">
      <c r="A394" s="21" t="s">
        <v>649</v>
      </c>
      <c r="B394" s="21" t="s">
        <v>671</v>
      </c>
      <c r="C394" s="21" t="s">
        <v>319</v>
      </c>
      <c r="D394" s="21">
        <v>8</v>
      </c>
      <c r="E394" s="21" t="s">
        <v>299</v>
      </c>
      <c r="F394" s="21" t="s">
        <v>300</v>
      </c>
      <c r="G394" s="21" t="s">
        <v>716</v>
      </c>
      <c r="H394" s="40">
        <v>0</v>
      </c>
      <c r="I394" s="40">
        <v>1667</v>
      </c>
      <c r="J394" s="40">
        <v>1275067.12</v>
      </c>
      <c r="K394" s="21"/>
    </row>
    <row r="395" ht="97.2" hidden="1" spans="1:11">
      <c r="A395" s="21" t="s">
        <v>649</v>
      </c>
      <c r="B395" s="21" t="s">
        <v>671</v>
      </c>
      <c r="C395" s="21" t="s">
        <v>319</v>
      </c>
      <c r="D395" s="21">
        <v>8</v>
      </c>
      <c r="E395" s="21" t="s">
        <v>299</v>
      </c>
      <c r="F395" s="21" t="s">
        <v>300</v>
      </c>
      <c r="G395" s="21" t="s">
        <v>717</v>
      </c>
      <c r="H395" s="40">
        <v>0</v>
      </c>
      <c r="I395" s="40">
        <v>4127.88</v>
      </c>
      <c r="J395" s="40">
        <v>1270939.24</v>
      </c>
      <c r="K395" s="21"/>
    </row>
    <row r="396" ht="97.2" hidden="1" spans="1:11">
      <c r="A396" s="21" t="s">
        <v>649</v>
      </c>
      <c r="B396" s="21" t="s">
        <v>671</v>
      </c>
      <c r="C396" s="21" t="s">
        <v>319</v>
      </c>
      <c r="D396" s="21">
        <v>8</v>
      </c>
      <c r="E396" s="21" t="s">
        <v>299</v>
      </c>
      <c r="F396" s="21" t="s">
        <v>300</v>
      </c>
      <c r="G396" s="21" t="s">
        <v>472</v>
      </c>
      <c r="H396" s="40">
        <v>0</v>
      </c>
      <c r="I396" s="40">
        <v>907</v>
      </c>
      <c r="J396" s="40">
        <v>1270032.24</v>
      </c>
      <c r="K396" s="21"/>
    </row>
    <row r="397" ht="97.2" hidden="1" spans="1:11">
      <c r="A397" s="21" t="s">
        <v>649</v>
      </c>
      <c r="B397" s="21" t="s">
        <v>671</v>
      </c>
      <c r="C397" s="21" t="s">
        <v>319</v>
      </c>
      <c r="D397" s="21">
        <v>8</v>
      </c>
      <c r="E397" s="21" t="s">
        <v>299</v>
      </c>
      <c r="F397" s="21" t="s">
        <v>300</v>
      </c>
      <c r="G397" s="21" t="s">
        <v>473</v>
      </c>
      <c r="H397" s="40">
        <v>0</v>
      </c>
      <c r="I397" s="40">
        <v>5847.83</v>
      </c>
      <c r="J397" s="40">
        <v>1264184.41</v>
      </c>
      <c r="K397" s="21"/>
    </row>
    <row r="398" ht="97.2" hidden="1" spans="1:11">
      <c r="A398" s="21" t="s">
        <v>649</v>
      </c>
      <c r="B398" s="21" t="s">
        <v>671</v>
      </c>
      <c r="C398" s="21" t="s">
        <v>319</v>
      </c>
      <c r="D398" s="21">
        <v>8</v>
      </c>
      <c r="E398" s="21" t="s">
        <v>299</v>
      </c>
      <c r="F398" s="21" t="s">
        <v>300</v>
      </c>
      <c r="G398" s="21" t="s">
        <v>558</v>
      </c>
      <c r="H398" s="40">
        <v>0</v>
      </c>
      <c r="I398" s="40">
        <v>893.55</v>
      </c>
      <c r="J398" s="40">
        <v>1263290.86</v>
      </c>
      <c r="K398" s="21"/>
    </row>
    <row r="399" ht="97.2" hidden="1" spans="1:11">
      <c r="A399" s="21" t="s">
        <v>649</v>
      </c>
      <c r="B399" s="21" t="s">
        <v>671</v>
      </c>
      <c r="C399" s="21" t="s">
        <v>319</v>
      </c>
      <c r="D399" s="21">
        <v>8</v>
      </c>
      <c r="E399" s="21" t="s">
        <v>299</v>
      </c>
      <c r="F399" s="21" t="s">
        <v>300</v>
      </c>
      <c r="G399" s="21" t="s">
        <v>632</v>
      </c>
      <c r="H399" s="40">
        <v>0</v>
      </c>
      <c r="I399" s="40">
        <v>1973.59</v>
      </c>
      <c r="J399" s="40">
        <v>1261317.27</v>
      </c>
      <c r="K399" s="21"/>
    </row>
    <row r="400" ht="97.2" hidden="1" spans="1:11">
      <c r="A400" s="21" t="s">
        <v>649</v>
      </c>
      <c r="B400" s="21" t="s">
        <v>671</v>
      </c>
      <c r="C400" s="21" t="s">
        <v>319</v>
      </c>
      <c r="D400" s="21">
        <v>8</v>
      </c>
      <c r="E400" s="21" t="s">
        <v>299</v>
      </c>
      <c r="F400" s="21" t="s">
        <v>300</v>
      </c>
      <c r="G400" s="21" t="s">
        <v>718</v>
      </c>
      <c r="H400" s="40">
        <v>0</v>
      </c>
      <c r="I400" s="40">
        <v>3282.4</v>
      </c>
      <c r="J400" s="40">
        <v>1258034.87</v>
      </c>
      <c r="K400" s="21"/>
    </row>
    <row r="401" ht="97.2" hidden="1" spans="1:11">
      <c r="A401" s="21" t="s">
        <v>649</v>
      </c>
      <c r="B401" s="21" t="s">
        <v>671</v>
      </c>
      <c r="C401" s="21" t="s">
        <v>319</v>
      </c>
      <c r="D401" s="21">
        <v>8</v>
      </c>
      <c r="E401" s="21" t="s">
        <v>299</v>
      </c>
      <c r="F401" s="21" t="s">
        <v>300</v>
      </c>
      <c r="G401" s="21" t="s">
        <v>719</v>
      </c>
      <c r="H401" s="40">
        <v>0</v>
      </c>
      <c r="I401" s="40">
        <v>1719.95</v>
      </c>
      <c r="J401" s="40">
        <v>1256314.92</v>
      </c>
      <c r="K401" s="21"/>
    </row>
    <row r="402" ht="97.2" hidden="1" spans="1:11">
      <c r="A402" s="21" t="s">
        <v>649</v>
      </c>
      <c r="B402" s="21" t="s">
        <v>671</v>
      </c>
      <c r="C402" s="21" t="s">
        <v>319</v>
      </c>
      <c r="D402" s="21">
        <v>8</v>
      </c>
      <c r="E402" s="21" t="s">
        <v>299</v>
      </c>
      <c r="F402" s="21" t="s">
        <v>300</v>
      </c>
      <c r="G402" s="21" t="s">
        <v>720</v>
      </c>
      <c r="H402" s="40">
        <v>0</v>
      </c>
      <c r="I402" s="40">
        <v>1275</v>
      </c>
      <c r="J402" s="40">
        <v>1255039.92</v>
      </c>
      <c r="K402" s="21"/>
    </row>
    <row r="403" ht="97.2" hidden="1" spans="1:11">
      <c r="A403" s="21" t="s">
        <v>649</v>
      </c>
      <c r="B403" s="21" t="s">
        <v>671</v>
      </c>
      <c r="C403" s="21" t="s">
        <v>319</v>
      </c>
      <c r="D403" s="21">
        <v>8</v>
      </c>
      <c r="E403" s="21" t="s">
        <v>299</v>
      </c>
      <c r="F403" s="21" t="s">
        <v>300</v>
      </c>
      <c r="G403" s="21" t="s">
        <v>721</v>
      </c>
      <c r="H403" s="40">
        <v>0</v>
      </c>
      <c r="I403" s="40">
        <v>2400</v>
      </c>
      <c r="J403" s="40">
        <v>1252639.92</v>
      </c>
      <c r="K403" s="21"/>
    </row>
    <row r="404" ht="97.2" hidden="1" spans="1:11">
      <c r="A404" s="21" t="s">
        <v>649</v>
      </c>
      <c r="B404" s="21" t="s">
        <v>671</v>
      </c>
      <c r="C404" s="21" t="s">
        <v>319</v>
      </c>
      <c r="D404" s="21">
        <v>8</v>
      </c>
      <c r="E404" s="21" t="s">
        <v>299</v>
      </c>
      <c r="F404" s="21" t="s">
        <v>300</v>
      </c>
      <c r="G404" s="21" t="s">
        <v>722</v>
      </c>
      <c r="H404" s="40">
        <v>0</v>
      </c>
      <c r="I404" s="40">
        <v>583</v>
      </c>
      <c r="J404" s="40">
        <v>1252056.92</v>
      </c>
      <c r="K404" s="21"/>
    </row>
    <row r="405" ht="97.2" hidden="1" spans="1:11">
      <c r="A405" s="21" t="s">
        <v>649</v>
      </c>
      <c r="B405" s="21" t="s">
        <v>671</v>
      </c>
      <c r="C405" s="21" t="s">
        <v>319</v>
      </c>
      <c r="D405" s="21">
        <v>8</v>
      </c>
      <c r="E405" s="21" t="s">
        <v>299</v>
      </c>
      <c r="F405" s="21" t="s">
        <v>300</v>
      </c>
      <c r="G405" s="21" t="s">
        <v>565</v>
      </c>
      <c r="H405" s="40">
        <v>0</v>
      </c>
      <c r="I405" s="40">
        <v>1123.79</v>
      </c>
      <c r="J405" s="40">
        <v>1250933.13</v>
      </c>
      <c r="K405" s="21"/>
    </row>
    <row r="406" ht="97.2" hidden="1" spans="1:11">
      <c r="A406" s="21" t="s">
        <v>649</v>
      </c>
      <c r="B406" s="21" t="s">
        <v>671</v>
      </c>
      <c r="C406" s="21" t="s">
        <v>319</v>
      </c>
      <c r="D406" s="21">
        <v>8</v>
      </c>
      <c r="E406" s="21" t="s">
        <v>299</v>
      </c>
      <c r="F406" s="21" t="s">
        <v>300</v>
      </c>
      <c r="G406" s="21" t="s">
        <v>566</v>
      </c>
      <c r="H406" s="40">
        <v>0</v>
      </c>
      <c r="I406" s="40">
        <v>786.16</v>
      </c>
      <c r="J406" s="40">
        <v>1250146.97</v>
      </c>
      <c r="K406" s="21"/>
    </row>
    <row r="407" ht="97.2" hidden="1" spans="1:11">
      <c r="A407" s="21" t="s">
        <v>649</v>
      </c>
      <c r="B407" s="21" t="s">
        <v>671</v>
      </c>
      <c r="C407" s="21" t="s">
        <v>319</v>
      </c>
      <c r="D407" s="21">
        <v>8</v>
      </c>
      <c r="E407" s="21" t="s">
        <v>299</v>
      </c>
      <c r="F407" s="21" t="s">
        <v>300</v>
      </c>
      <c r="G407" s="21" t="s">
        <v>567</v>
      </c>
      <c r="H407" s="40">
        <v>0</v>
      </c>
      <c r="I407" s="40">
        <v>500</v>
      </c>
      <c r="J407" s="40">
        <v>1249646.97</v>
      </c>
      <c r="K407" s="21"/>
    </row>
    <row r="408" ht="97.2" hidden="1" spans="1:11">
      <c r="A408" s="21" t="s">
        <v>649</v>
      </c>
      <c r="B408" s="21" t="s">
        <v>671</v>
      </c>
      <c r="C408" s="21" t="s">
        <v>319</v>
      </c>
      <c r="D408" s="21">
        <v>8</v>
      </c>
      <c r="E408" s="21" t="s">
        <v>299</v>
      </c>
      <c r="F408" s="21" t="s">
        <v>300</v>
      </c>
      <c r="G408" s="21" t="s">
        <v>723</v>
      </c>
      <c r="H408" s="40">
        <v>0</v>
      </c>
      <c r="I408" s="40">
        <v>5165.05</v>
      </c>
      <c r="J408" s="40">
        <v>1244481.92</v>
      </c>
      <c r="K408" s="21"/>
    </row>
    <row r="409" ht="97.2" hidden="1" spans="1:11">
      <c r="A409" s="21" t="s">
        <v>649</v>
      </c>
      <c r="B409" s="21" t="s">
        <v>671</v>
      </c>
      <c r="C409" s="21" t="s">
        <v>319</v>
      </c>
      <c r="D409" s="21">
        <v>8</v>
      </c>
      <c r="E409" s="21" t="s">
        <v>299</v>
      </c>
      <c r="F409" s="21" t="s">
        <v>300</v>
      </c>
      <c r="G409" s="21" t="s">
        <v>724</v>
      </c>
      <c r="H409" s="40">
        <v>0</v>
      </c>
      <c r="I409" s="40">
        <v>150</v>
      </c>
      <c r="J409" s="40">
        <v>1244331.92</v>
      </c>
      <c r="K409" s="21"/>
    </row>
    <row r="410" ht="97.2" hidden="1" spans="1:11">
      <c r="A410" s="21" t="s">
        <v>649</v>
      </c>
      <c r="B410" s="21" t="s">
        <v>671</v>
      </c>
      <c r="C410" s="21" t="s">
        <v>319</v>
      </c>
      <c r="D410" s="21">
        <v>8</v>
      </c>
      <c r="E410" s="21" t="s">
        <v>299</v>
      </c>
      <c r="F410" s="21" t="s">
        <v>300</v>
      </c>
      <c r="G410" s="21" t="s">
        <v>725</v>
      </c>
      <c r="H410" s="40">
        <v>0</v>
      </c>
      <c r="I410" s="40">
        <v>1056</v>
      </c>
      <c r="J410" s="40">
        <v>1243275.92</v>
      </c>
      <c r="K410" s="21"/>
    </row>
    <row r="411" ht="97.2" hidden="1" spans="1:11">
      <c r="A411" s="21" t="s">
        <v>649</v>
      </c>
      <c r="B411" s="21" t="s">
        <v>671</v>
      </c>
      <c r="C411" s="21" t="s">
        <v>319</v>
      </c>
      <c r="D411" s="21">
        <v>8</v>
      </c>
      <c r="E411" s="21" t="s">
        <v>299</v>
      </c>
      <c r="F411" s="21" t="s">
        <v>300</v>
      </c>
      <c r="G411" s="21" t="s">
        <v>726</v>
      </c>
      <c r="H411" s="40">
        <v>0</v>
      </c>
      <c r="I411" s="40">
        <v>93.75</v>
      </c>
      <c r="J411" s="40">
        <v>1243182.17</v>
      </c>
      <c r="K411" s="21"/>
    </row>
    <row r="412" ht="97.2" hidden="1" spans="1:11">
      <c r="A412" s="21" t="s">
        <v>649</v>
      </c>
      <c r="B412" s="21" t="s">
        <v>671</v>
      </c>
      <c r="C412" s="21" t="s">
        <v>319</v>
      </c>
      <c r="D412" s="21">
        <v>8</v>
      </c>
      <c r="E412" s="21" t="s">
        <v>299</v>
      </c>
      <c r="F412" s="21" t="s">
        <v>300</v>
      </c>
      <c r="G412" s="21" t="s">
        <v>642</v>
      </c>
      <c r="H412" s="40">
        <v>0</v>
      </c>
      <c r="I412" s="40">
        <v>15030.68</v>
      </c>
      <c r="J412" s="40">
        <v>1228151.49</v>
      </c>
      <c r="K412" s="21"/>
    </row>
    <row r="413" ht="97.2" hidden="1" spans="1:11">
      <c r="A413" s="21" t="s">
        <v>649</v>
      </c>
      <c r="B413" s="21" t="s">
        <v>671</v>
      </c>
      <c r="C413" s="21" t="s">
        <v>319</v>
      </c>
      <c r="D413" s="21">
        <v>8</v>
      </c>
      <c r="E413" s="21" t="s">
        <v>299</v>
      </c>
      <c r="F413" s="21" t="s">
        <v>300</v>
      </c>
      <c r="G413" s="21" t="s">
        <v>727</v>
      </c>
      <c r="H413" s="40">
        <v>0</v>
      </c>
      <c r="I413" s="40">
        <v>1336.48</v>
      </c>
      <c r="J413" s="40">
        <v>1226815.01</v>
      </c>
      <c r="K413" s="21"/>
    </row>
    <row r="414" ht="97.2" hidden="1" spans="1:11">
      <c r="A414" s="21" t="s">
        <v>649</v>
      </c>
      <c r="B414" s="21" t="s">
        <v>671</v>
      </c>
      <c r="C414" s="21" t="s">
        <v>319</v>
      </c>
      <c r="D414" s="21">
        <v>8</v>
      </c>
      <c r="E414" s="21" t="s">
        <v>299</v>
      </c>
      <c r="F414" s="21" t="s">
        <v>300</v>
      </c>
      <c r="G414" s="21" t="s">
        <v>728</v>
      </c>
      <c r="H414" s="40">
        <v>0</v>
      </c>
      <c r="I414" s="40">
        <v>679.2</v>
      </c>
      <c r="J414" s="40">
        <v>1226135.81</v>
      </c>
      <c r="K414" s="21"/>
    </row>
    <row r="415" ht="97.2" hidden="1" spans="1:11">
      <c r="A415" s="21" t="s">
        <v>649</v>
      </c>
      <c r="B415" s="21" t="s">
        <v>671</v>
      </c>
      <c r="C415" s="21" t="s">
        <v>319</v>
      </c>
      <c r="D415" s="21">
        <v>8</v>
      </c>
      <c r="E415" s="21" t="s">
        <v>299</v>
      </c>
      <c r="F415" s="21" t="s">
        <v>300</v>
      </c>
      <c r="G415" s="21" t="s">
        <v>729</v>
      </c>
      <c r="H415" s="40">
        <v>0</v>
      </c>
      <c r="I415" s="40">
        <v>1285.74</v>
      </c>
      <c r="J415" s="40">
        <v>1224850.07</v>
      </c>
      <c r="K415" s="21"/>
    </row>
    <row r="416" ht="97.2" hidden="1" spans="1:11">
      <c r="A416" s="21" t="s">
        <v>649</v>
      </c>
      <c r="B416" s="21" t="s">
        <v>671</v>
      </c>
      <c r="C416" s="21" t="s">
        <v>319</v>
      </c>
      <c r="D416" s="21">
        <v>8</v>
      </c>
      <c r="E416" s="21" t="s">
        <v>299</v>
      </c>
      <c r="F416" s="21" t="s">
        <v>300</v>
      </c>
      <c r="G416" s="21" t="s">
        <v>730</v>
      </c>
      <c r="H416" s="40">
        <v>0</v>
      </c>
      <c r="I416" s="40">
        <v>1923</v>
      </c>
      <c r="J416" s="40">
        <v>1222927.07</v>
      </c>
      <c r="K416" s="21"/>
    </row>
    <row r="417" ht="97.2" hidden="1" spans="1:11">
      <c r="A417" s="21" t="s">
        <v>649</v>
      </c>
      <c r="B417" s="21" t="s">
        <v>671</v>
      </c>
      <c r="C417" s="21" t="s">
        <v>319</v>
      </c>
      <c r="D417" s="21">
        <v>8</v>
      </c>
      <c r="E417" s="21" t="s">
        <v>299</v>
      </c>
      <c r="F417" s="21" t="s">
        <v>300</v>
      </c>
      <c r="G417" s="21" t="s">
        <v>731</v>
      </c>
      <c r="H417" s="40">
        <v>0</v>
      </c>
      <c r="I417" s="40">
        <v>633.33</v>
      </c>
      <c r="J417" s="40">
        <v>1222293.74</v>
      </c>
      <c r="K417" s="21"/>
    </row>
    <row r="418" ht="97.2" hidden="1" spans="1:11">
      <c r="A418" s="21" t="s">
        <v>649</v>
      </c>
      <c r="B418" s="21" t="s">
        <v>671</v>
      </c>
      <c r="C418" s="21" t="s">
        <v>319</v>
      </c>
      <c r="D418" s="21">
        <v>8</v>
      </c>
      <c r="E418" s="21" t="s">
        <v>299</v>
      </c>
      <c r="F418" s="21" t="s">
        <v>300</v>
      </c>
      <c r="G418" s="21" t="s">
        <v>732</v>
      </c>
      <c r="H418" s="40">
        <v>0</v>
      </c>
      <c r="I418" s="40">
        <v>188.68</v>
      </c>
      <c r="J418" s="40">
        <v>1222105.06</v>
      </c>
      <c r="K418" s="21"/>
    </row>
    <row r="419" ht="97.2" hidden="1" spans="1:11">
      <c r="A419" s="21" t="s">
        <v>649</v>
      </c>
      <c r="B419" s="21" t="s">
        <v>671</v>
      </c>
      <c r="C419" s="21" t="s">
        <v>319</v>
      </c>
      <c r="D419" s="21">
        <v>8</v>
      </c>
      <c r="E419" s="21" t="s">
        <v>299</v>
      </c>
      <c r="F419" s="21" t="s">
        <v>300</v>
      </c>
      <c r="G419" s="21" t="s">
        <v>568</v>
      </c>
      <c r="H419" s="40">
        <v>0</v>
      </c>
      <c r="I419" s="40">
        <v>1282</v>
      </c>
      <c r="J419" s="40">
        <v>1220823.06</v>
      </c>
      <c r="K419" s="21"/>
    </row>
    <row r="420" ht="97.2" hidden="1" spans="1:11">
      <c r="A420" s="21" t="s">
        <v>649</v>
      </c>
      <c r="B420" s="21" t="s">
        <v>671</v>
      </c>
      <c r="C420" s="21" t="s">
        <v>319</v>
      </c>
      <c r="D420" s="21">
        <v>8</v>
      </c>
      <c r="E420" s="21" t="s">
        <v>299</v>
      </c>
      <c r="F420" s="21" t="s">
        <v>300</v>
      </c>
      <c r="G420" s="21" t="s">
        <v>733</v>
      </c>
      <c r="H420" s="40">
        <v>0</v>
      </c>
      <c r="I420" s="40">
        <v>585.71</v>
      </c>
      <c r="J420" s="40">
        <v>1220237.35</v>
      </c>
      <c r="K420" s="21"/>
    </row>
    <row r="421" ht="97.2" hidden="1" spans="1:11">
      <c r="A421" s="21" t="s">
        <v>649</v>
      </c>
      <c r="B421" s="21" t="s">
        <v>671</v>
      </c>
      <c r="C421" s="21" t="s">
        <v>319</v>
      </c>
      <c r="D421" s="21">
        <v>8</v>
      </c>
      <c r="E421" s="21" t="s">
        <v>299</v>
      </c>
      <c r="F421" s="21" t="s">
        <v>300</v>
      </c>
      <c r="G421" s="21" t="s">
        <v>734</v>
      </c>
      <c r="H421" s="40">
        <v>0</v>
      </c>
      <c r="I421" s="40">
        <v>317.14</v>
      </c>
      <c r="J421" s="40">
        <v>1219920.21</v>
      </c>
      <c r="K421" s="21"/>
    </row>
    <row r="422" ht="97.2" hidden="1" spans="1:11">
      <c r="A422" s="21" t="s">
        <v>649</v>
      </c>
      <c r="B422" s="21" t="s">
        <v>671</v>
      </c>
      <c r="C422" s="21" t="s">
        <v>319</v>
      </c>
      <c r="D422" s="21">
        <v>8</v>
      </c>
      <c r="E422" s="21" t="s">
        <v>299</v>
      </c>
      <c r="F422" s="21" t="s">
        <v>300</v>
      </c>
      <c r="G422" s="21" t="s">
        <v>735</v>
      </c>
      <c r="H422" s="40">
        <v>0</v>
      </c>
      <c r="I422" s="40">
        <v>4966.04</v>
      </c>
      <c r="J422" s="40">
        <v>1214954.17</v>
      </c>
      <c r="K422" s="21"/>
    </row>
    <row r="423" ht="97.2" hidden="1" spans="1:11">
      <c r="A423" s="21" t="s">
        <v>649</v>
      </c>
      <c r="B423" s="21" t="s">
        <v>671</v>
      </c>
      <c r="C423" s="21" t="s">
        <v>319</v>
      </c>
      <c r="D423" s="21">
        <v>8</v>
      </c>
      <c r="E423" s="21" t="s">
        <v>299</v>
      </c>
      <c r="F423" s="21" t="s">
        <v>300</v>
      </c>
      <c r="G423" s="21" t="s">
        <v>736</v>
      </c>
      <c r="H423" s="40">
        <v>0</v>
      </c>
      <c r="I423" s="40">
        <v>380</v>
      </c>
      <c r="J423" s="40">
        <v>1214574.17</v>
      </c>
      <c r="K423" s="21"/>
    </row>
    <row r="424" ht="97.2" hidden="1" spans="1:11">
      <c r="A424" s="21" t="s">
        <v>649</v>
      </c>
      <c r="B424" s="21" t="s">
        <v>671</v>
      </c>
      <c r="C424" s="21" t="s">
        <v>319</v>
      </c>
      <c r="D424" s="21">
        <v>8</v>
      </c>
      <c r="E424" s="21" t="s">
        <v>299</v>
      </c>
      <c r="F424" s="21" t="s">
        <v>300</v>
      </c>
      <c r="G424" s="21" t="s">
        <v>737</v>
      </c>
      <c r="H424" s="40">
        <v>0</v>
      </c>
      <c r="I424" s="40">
        <v>487.54</v>
      </c>
      <c r="J424" s="40">
        <v>1214086.63</v>
      </c>
      <c r="K424" s="21"/>
    </row>
    <row r="425" ht="97.2" hidden="1" spans="1:11">
      <c r="A425" s="21" t="s">
        <v>649</v>
      </c>
      <c r="B425" s="21" t="s">
        <v>671</v>
      </c>
      <c r="C425" s="21" t="s">
        <v>319</v>
      </c>
      <c r="D425" s="21">
        <v>8</v>
      </c>
      <c r="E425" s="21" t="s">
        <v>299</v>
      </c>
      <c r="F425" s="21" t="s">
        <v>300</v>
      </c>
      <c r="G425" s="21" t="s">
        <v>738</v>
      </c>
      <c r="H425" s="40">
        <v>0</v>
      </c>
      <c r="I425" s="40">
        <v>254.29</v>
      </c>
      <c r="J425" s="40">
        <v>1213832.34</v>
      </c>
      <c r="K425" s="21"/>
    </row>
    <row r="426" ht="97.2" hidden="1" spans="1:11">
      <c r="A426" s="21" t="s">
        <v>649</v>
      </c>
      <c r="B426" s="21" t="s">
        <v>671</v>
      </c>
      <c r="C426" s="21" t="s">
        <v>319</v>
      </c>
      <c r="D426" s="21">
        <v>8</v>
      </c>
      <c r="E426" s="21" t="s">
        <v>299</v>
      </c>
      <c r="F426" s="21" t="s">
        <v>300</v>
      </c>
      <c r="G426" s="21" t="s">
        <v>739</v>
      </c>
      <c r="H426" s="40">
        <v>0</v>
      </c>
      <c r="I426" s="40">
        <v>716.43</v>
      </c>
      <c r="J426" s="40">
        <v>1213115.91</v>
      </c>
      <c r="K426" s="21"/>
    </row>
    <row r="427" ht="97.2" hidden="1" spans="1:11">
      <c r="A427" s="21" t="s">
        <v>649</v>
      </c>
      <c r="B427" s="21" t="s">
        <v>671</v>
      </c>
      <c r="C427" s="21" t="s">
        <v>319</v>
      </c>
      <c r="D427" s="21">
        <v>8</v>
      </c>
      <c r="E427" s="21" t="s">
        <v>299</v>
      </c>
      <c r="F427" s="21" t="s">
        <v>300</v>
      </c>
      <c r="G427" s="21" t="s">
        <v>740</v>
      </c>
      <c r="H427" s="40">
        <v>0</v>
      </c>
      <c r="I427" s="40">
        <v>323.14</v>
      </c>
      <c r="J427" s="40">
        <v>1212792.77</v>
      </c>
      <c r="K427" s="21"/>
    </row>
    <row r="428" ht="97.2" hidden="1" spans="1:11">
      <c r="A428" s="21" t="s">
        <v>649</v>
      </c>
      <c r="B428" s="21" t="s">
        <v>671</v>
      </c>
      <c r="C428" s="21" t="s">
        <v>319</v>
      </c>
      <c r="D428" s="21">
        <v>8</v>
      </c>
      <c r="E428" s="21" t="s">
        <v>299</v>
      </c>
      <c r="F428" s="21" t="s">
        <v>300</v>
      </c>
      <c r="G428" s="21" t="s">
        <v>741</v>
      </c>
      <c r="H428" s="40">
        <v>0</v>
      </c>
      <c r="I428" s="40">
        <v>250</v>
      </c>
      <c r="J428" s="40">
        <v>1212542.77</v>
      </c>
      <c r="K428" s="21"/>
    </row>
    <row r="429" ht="97.2" hidden="1" spans="1:11">
      <c r="A429" s="21" t="s">
        <v>649</v>
      </c>
      <c r="B429" s="21" t="s">
        <v>671</v>
      </c>
      <c r="C429" s="21" t="s">
        <v>319</v>
      </c>
      <c r="D429" s="21">
        <v>8</v>
      </c>
      <c r="E429" s="21" t="s">
        <v>299</v>
      </c>
      <c r="F429" s="21" t="s">
        <v>300</v>
      </c>
      <c r="G429" s="21" t="s">
        <v>742</v>
      </c>
      <c r="H429" s="40">
        <v>0</v>
      </c>
      <c r="I429" s="40">
        <v>433.33</v>
      </c>
      <c r="J429" s="40">
        <v>1212109.44</v>
      </c>
      <c r="K429" s="21"/>
    </row>
    <row r="430" ht="97.2" hidden="1" spans="1:11">
      <c r="A430" s="21" t="s">
        <v>649</v>
      </c>
      <c r="B430" s="21" t="s">
        <v>671</v>
      </c>
      <c r="C430" s="21" t="s">
        <v>319</v>
      </c>
      <c r="D430" s="21">
        <v>8</v>
      </c>
      <c r="E430" s="21" t="s">
        <v>299</v>
      </c>
      <c r="F430" s="21" t="s">
        <v>300</v>
      </c>
      <c r="G430" s="21" t="s">
        <v>743</v>
      </c>
      <c r="H430" s="40">
        <v>0</v>
      </c>
      <c r="I430" s="40">
        <v>2940</v>
      </c>
      <c r="J430" s="40">
        <v>1209169.44</v>
      </c>
      <c r="K430" s="21"/>
    </row>
    <row r="431" ht="97.2" hidden="1" spans="1:11">
      <c r="A431" s="21" t="s">
        <v>649</v>
      </c>
      <c r="B431" s="21" t="s">
        <v>671</v>
      </c>
      <c r="C431" s="21" t="s">
        <v>319</v>
      </c>
      <c r="D431" s="21">
        <v>8</v>
      </c>
      <c r="E431" s="21" t="s">
        <v>299</v>
      </c>
      <c r="F431" s="21" t="s">
        <v>300</v>
      </c>
      <c r="G431" s="21" t="s">
        <v>744</v>
      </c>
      <c r="H431" s="40">
        <v>0</v>
      </c>
      <c r="I431" s="40">
        <v>2357.14</v>
      </c>
      <c r="J431" s="40">
        <v>1206812.3</v>
      </c>
      <c r="K431" s="21"/>
    </row>
    <row r="432" ht="21.6" hidden="1" spans="1:11">
      <c r="A432" s="21" t="s">
        <v>649</v>
      </c>
      <c r="B432" s="21"/>
      <c r="C432" s="21"/>
      <c r="D432" s="21"/>
      <c r="E432" s="21"/>
      <c r="F432" s="21"/>
      <c r="G432" s="21" t="s">
        <v>361</v>
      </c>
      <c r="H432" s="40">
        <v>212577.18</v>
      </c>
      <c r="I432" s="40">
        <v>199376.75</v>
      </c>
      <c r="J432" s="40">
        <v>1206812.3</v>
      </c>
      <c r="K432" s="21"/>
    </row>
    <row r="433" ht="21.6" hidden="1" spans="1:11">
      <c r="A433" s="21" t="s">
        <v>649</v>
      </c>
      <c r="B433" s="21"/>
      <c r="C433" s="21"/>
      <c r="D433" s="21"/>
      <c r="E433" s="21"/>
      <c r="F433" s="21"/>
      <c r="G433" s="21" t="s">
        <v>362</v>
      </c>
      <c r="H433" s="40">
        <v>1741508.54</v>
      </c>
      <c r="I433" s="40">
        <v>1117363.41</v>
      </c>
      <c r="J433" s="40">
        <v>1206812.3</v>
      </c>
      <c r="K433" s="21"/>
    </row>
    <row r="434" ht="21.6" hidden="1" spans="1:11">
      <c r="A434" s="21" t="s">
        <v>745</v>
      </c>
      <c r="B434" s="21"/>
      <c r="C434" s="21"/>
      <c r="D434" s="21"/>
      <c r="E434" s="21"/>
      <c r="F434" s="21"/>
      <c r="G434" s="21" t="s">
        <v>296</v>
      </c>
      <c r="H434" s="21"/>
      <c r="I434" s="21"/>
      <c r="J434" s="40">
        <v>1206812.3</v>
      </c>
      <c r="K434" s="21"/>
    </row>
    <row r="435" ht="64.8" hidden="1" spans="1:11">
      <c r="A435" s="21" t="s">
        <v>745</v>
      </c>
      <c r="B435" s="21" t="s">
        <v>746</v>
      </c>
      <c r="C435" s="21" t="s">
        <v>298</v>
      </c>
      <c r="D435" s="21">
        <v>2</v>
      </c>
      <c r="E435" s="21" t="s">
        <v>299</v>
      </c>
      <c r="F435" s="21" t="s">
        <v>300</v>
      </c>
      <c r="G435" s="21" t="s">
        <v>747</v>
      </c>
      <c r="H435" s="40">
        <v>3280</v>
      </c>
      <c r="I435" s="40">
        <v>0</v>
      </c>
      <c r="J435" s="40">
        <v>1210092.3</v>
      </c>
      <c r="K435" s="21"/>
    </row>
    <row r="436" ht="64.8" hidden="1" spans="1:11">
      <c r="A436" s="21" t="s">
        <v>745</v>
      </c>
      <c r="B436" s="21" t="s">
        <v>748</v>
      </c>
      <c r="C436" s="21" t="s">
        <v>298</v>
      </c>
      <c r="D436" s="21">
        <v>4</v>
      </c>
      <c r="E436" s="21" t="s">
        <v>299</v>
      </c>
      <c r="F436" s="21" t="s">
        <v>300</v>
      </c>
      <c r="G436" s="21" t="s">
        <v>749</v>
      </c>
      <c r="H436" s="40">
        <v>18547.2</v>
      </c>
      <c r="I436" s="40">
        <v>0</v>
      </c>
      <c r="J436" s="40">
        <v>1228639.5</v>
      </c>
      <c r="K436" s="21"/>
    </row>
    <row r="437" ht="64.8" hidden="1" spans="1:11">
      <c r="A437" s="21" t="s">
        <v>745</v>
      </c>
      <c r="B437" s="21" t="s">
        <v>750</v>
      </c>
      <c r="C437" s="21" t="s">
        <v>298</v>
      </c>
      <c r="D437" s="21">
        <v>8</v>
      </c>
      <c r="E437" s="21" t="s">
        <v>299</v>
      </c>
      <c r="F437" s="21" t="s">
        <v>300</v>
      </c>
      <c r="G437" s="21" t="s">
        <v>751</v>
      </c>
      <c r="H437" s="40">
        <v>4359</v>
      </c>
      <c r="I437" s="40">
        <v>0</v>
      </c>
      <c r="J437" s="40">
        <v>1232998.5</v>
      </c>
      <c r="K437" s="21"/>
    </row>
    <row r="438" ht="64.8" hidden="1" spans="1:11">
      <c r="A438" s="21" t="s">
        <v>745</v>
      </c>
      <c r="B438" s="21" t="s">
        <v>750</v>
      </c>
      <c r="C438" s="21" t="s">
        <v>298</v>
      </c>
      <c r="D438" s="21">
        <v>8</v>
      </c>
      <c r="E438" s="21" t="s">
        <v>299</v>
      </c>
      <c r="F438" s="21" t="s">
        <v>300</v>
      </c>
      <c r="G438" s="21" t="s">
        <v>752</v>
      </c>
      <c r="H438" s="40">
        <v>2565</v>
      </c>
      <c r="I438" s="40">
        <v>0</v>
      </c>
      <c r="J438" s="40">
        <v>1235563.5</v>
      </c>
      <c r="K438" s="21"/>
    </row>
    <row r="439" ht="64.8" hidden="1" spans="1:11">
      <c r="A439" s="21" t="s">
        <v>745</v>
      </c>
      <c r="B439" s="21" t="s">
        <v>753</v>
      </c>
      <c r="C439" s="21" t="s">
        <v>298</v>
      </c>
      <c r="D439" s="21">
        <v>9</v>
      </c>
      <c r="E439" s="21" t="s">
        <v>299</v>
      </c>
      <c r="F439" s="21" t="s">
        <v>300</v>
      </c>
      <c r="G439" s="21" t="s">
        <v>754</v>
      </c>
      <c r="H439" s="40">
        <v>7800</v>
      </c>
      <c r="I439" s="40">
        <v>0</v>
      </c>
      <c r="J439" s="40">
        <v>1243363.5</v>
      </c>
      <c r="K439" s="21"/>
    </row>
    <row r="440" ht="64.8" hidden="1" spans="1:11">
      <c r="A440" s="21" t="s">
        <v>745</v>
      </c>
      <c r="B440" s="21" t="s">
        <v>755</v>
      </c>
      <c r="C440" s="21" t="s">
        <v>298</v>
      </c>
      <c r="D440" s="21">
        <v>13</v>
      </c>
      <c r="E440" s="21" t="s">
        <v>299</v>
      </c>
      <c r="F440" s="21" t="s">
        <v>300</v>
      </c>
      <c r="G440" s="21" t="s">
        <v>756</v>
      </c>
      <c r="H440" s="40">
        <v>3495.12</v>
      </c>
      <c r="I440" s="40">
        <v>0</v>
      </c>
      <c r="J440" s="40">
        <v>1246858.62</v>
      </c>
      <c r="K440" s="21"/>
    </row>
    <row r="441" ht="64.8" hidden="1" spans="1:11">
      <c r="A441" s="21" t="s">
        <v>745</v>
      </c>
      <c r="B441" s="21" t="s">
        <v>757</v>
      </c>
      <c r="C441" s="21" t="s">
        <v>298</v>
      </c>
      <c r="D441" s="21">
        <v>14</v>
      </c>
      <c r="E441" s="21" t="s">
        <v>299</v>
      </c>
      <c r="F441" s="21" t="s">
        <v>300</v>
      </c>
      <c r="G441" s="21" t="s">
        <v>758</v>
      </c>
      <c r="H441" s="40">
        <v>613.44</v>
      </c>
      <c r="I441" s="40">
        <v>0</v>
      </c>
      <c r="J441" s="40">
        <v>1247472.06</v>
      </c>
      <c r="K441" s="21"/>
    </row>
    <row r="442" ht="64.8" hidden="1" spans="1:11">
      <c r="A442" s="21" t="s">
        <v>745</v>
      </c>
      <c r="B442" s="21" t="s">
        <v>757</v>
      </c>
      <c r="C442" s="21" t="s">
        <v>298</v>
      </c>
      <c r="D442" s="21">
        <v>14</v>
      </c>
      <c r="E442" s="21" t="s">
        <v>299</v>
      </c>
      <c r="F442" s="21" t="s">
        <v>300</v>
      </c>
      <c r="G442" s="21" t="s">
        <v>759</v>
      </c>
      <c r="H442" s="40">
        <v>1005.12</v>
      </c>
      <c r="I442" s="40">
        <v>0</v>
      </c>
      <c r="J442" s="40">
        <v>1248477.18</v>
      </c>
      <c r="K442" s="21"/>
    </row>
    <row r="443" ht="64.8" hidden="1" spans="1:11">
      <c r="A443" s="21" t="s">
        <v>745</v>
      </c>
      <c r="B443" s="21" t="s">
        <v>757</v>
      </c>
      <c r="C443" s="21" t="s">
        <v>298</v>
      </c>
      <c r="D443" s="21">
        <v>14</v>
      </c>
      <c r="E443" s="21" t="s">
        <v>299</v>
      </c>
      <c r="F443" s="21" t="s">
        <v>300</v>
      </c>
      <c r="G443" s="21" t="s">
        <v>760</v>
      </c>
      <c r="H443" s="40">
        <v>2420.64</v>
      </c>
      <c r="I443" s="40">
        <v>0</v>
      </c>
      <c r="J443" s="40">
        <v>1250897.82</v>
      </c>
      <c r="K443" s="21"/>
    </row>
    <row r="444" ht="64.8" hidden="1" spans="1:11">
      <c r="A444" s="21" t="s">
        <v>745</v>
      </c>
      <c r="B444" s="21" t="s">
        <v>757</v>
      </c>
      <c r="C444" s="21" t="s">
        <v>298</v>
      </c>
      <c r="D444" s="21">
        <v>14</v>
      </c>
      <c r="E444" s="21" t="s">
        <v>299</v>
      </c>
      <c r="F444" s="21" t="s">
        <v>300</v>
      </c>
      <c r="G444" s="21" t="s">
        <v>761</v>
      </c>
      <c r="H444" s="40">
        <v>3056.4</v>
      </c>
      <c r="I444" s="40">
        <v>0</v>
      </c>
      <c r="J444" s="40">
        <v>1253954.22</v>
      </c>
      <c r="K444" s="21"/>
    </row>
    <row r="445" ht="64.8" hidden="1" spans="1:11">
      <c r="A445" s="21" t="s">
        <v>745</v>
      </c>
      <c r="B445" s="21" t="s">
        <v>757</v>
      </c>
      <c r="C445" s="21" t="s">
        <v>298</v>
      </c>
      <c r="D445" s="21">
        <v>14</v>
      </c>
      <c r="E445" s="21" t="s">
        <v>299</v>
      </c>
      <c r="F445" s="21" t="s">
        <v>300</v>
      </c>
      <c r="G445" s="21" t="s">
        <v>762</v>
      </c>
      <c r="H445" s="40">
        <v>2041.08</v>
      </c>
      <c r="I445" s="40">
        <v>0</v>
      </c>
      <c r="J445" s="40">
        <v>1255995.3</v>
      </c>
      <c r="K445" s="21"/>
    </row>
    <row r="446" ht="64.8" hidden="1" spans="1:11">
      <c r="A446" s="21" t="s">
        <v>745</v>
      </c>
      <c r="B446" s="21" t="s">
        <v>757</v>
      </c>
      <c r="C446" s="21" t="s">
        <v>298</v>
      </c>
      <c r="D446" s="21">
        <v>14</v>
      </c>
      <c r="E446" s="21" t="s">
        <v>299</v>
      </c>
      <c r="F446" s="21" t="s">
        <v>300</v>
      </c>
      <c r="G446" s="21" t="s">
        <v>763</v>
      </c>
      <c r="H446" s="40">
        <v>170.26</v>
      </c>
      <c r="I446" s="40">
        <v>0</v>
      </c>
      <c r="J446" s="40">
        <v>1256165.56</v>
      </c>
      <c r="K446" s="21"/>
    </row>
    <row r="447" ht="64.8" hidden="1" spans="1:11">
      <c r="A447" s="21" t="s">
        <v>745</v>
      </c>
      <c r="B447" s="21" t="s">
        <v>757</v>
      </c>
      <c r="C447" s="21" t="s">
        <v>298</v>
      </c>
      <c r="D447" s="21">
        <v>14</v>
      </c>
      <c r="E447" s="21" t="s">
        <v>299</v>
      </c>
      <c r="F447" s="21" t="s">
        <v>300</v>
      </c>
      <c r="G447" s="21" t="s">
        <v>764</v>
      </c>
      <c r="H447" s="40">
        <v>136.07</v>
      </c>
      <c r="I447" s="40">
        <v>0</v>
      </c>
      <c r="J447" s="40">
        <v>1256301.63</v>
      </c>
      <c r="K447" s="21"/>
    </row>
    <row r="448" ht="64.8" hidden="1" spans="1:11">
      <c r="A448" s="21" t="s">
        <v>745</v>
      </c>
      <c r="B448" s="21" t="s">
        <v>757</v>
      </c>
      <c r="C448" s="21" t="s">
        <v>298</v>
      </c>
      <c r="D448" s="21">
        <v>14</v>
      </c>
      <c r="E448" s="21" t="s">
        <v>299</v>
      </c>
      <c r="F448" s="21" t="s">
        <v>300</v>
      </c>
      <c r="G448" s="21" t="s">
        <v>765</v>
      </c>
      <c r="H448" s="40">
        <v>101.54</v>
      </c>
      <c r="I448" s="40">
        <v>0</v>
      </c>
      <c r="J448" s="40">
        <v>1256403.17</v>
      </c>
      <c r="K448" s="21"/>
    </row>
    <row r="449" ht="64.8" hidden="1" spans="1:11">
      <c r="A449" s="21" t="s">
        <v>745</v>
      </c>
      <c r="B449" s="21" t="s">
        <v>757</v>
      </c>
      <c r="C449" s="21" t="s">
        <v>298</v>
      </c>
      <c r="D449" s="21">
        <v>14</v>
      </c>
      <c r="E449" s="21" t="s">
        <v>299</v>
      </c>
      <c r="F449" s="21" t="s">
        <v>300</v>
      </c>
      <c r="G449" s="21" t="s">
        <v>766</v>
      </c>
      <c r="H449" s="40">
        <v>810.25</v>
      </c>
      <c r="I449" s="40">
        <v>0</v>
      </c>
      <c r="J449" s="40">
        <v>1257213.42</v>
      </c>
      <c r="K449" s="21"/>
    </row>
    <row r="450" ht="64.8" hidden="1" spans="1:11">
      <c r="A450" s="21" t="s">
        <v>745</v>
      </c>
      <c r="B450" s="21" t="s">
        <v>757</v>
      </c>
      <c r="C450" s="21" t="s">
        <v>298</v>
      </c>
      <c r="D450" s="21">
        <v>14</v>
      </c>
      <c r="E450" s="21" t="s">
        <v>299</v>
      </c>
      <c r="F450" s="21" t="s">
        <v>300</v>
      </c>
      <c r="G450" s="21" t="s">
        <v>767</v>
      </c>
      <c r="H450" s="40">
        <v>441.02</v>
      </c>
      <c r="I450" s="40">
        <v>0</v>
      </c>
      <c r="J450" s="40">
        <v>1257654.44</v>
      </c>
      <c r="K450" s="21"/>
    </row>
    <row r="451" ht="64.8" hidden="1" spans="1:11">
      <c r="A451" s="21" t="s">
        <v>745</v>
      </c>
      <c r="B451" s="21" t="s">
        <v>757</v>
      </c>
      <c r="C451" s="21" t="s">
        <v>298</v>
      </c>
      <c r="D451" s="21">
        <v>14</v>
      </c>
      <c r="E451" s="21" t="s">
        <v>299</v>
      </c>
      <c r="F451" s="21" t="s">
        <v>300</v>
      </c>
      <c r="G451" s="21" t="s">
        <v>768</v>
      </c>
      <c r="H451" s="40">
        <v>403.42</v>
      </c>
      <c r="I451" s="40">
        <v>0</v>
      </c>
      <c r="J451" s="40">
        <v>1258057.86</v>
      </c>
      <c r="K451" s="21"/>
    </row>
    <row r="452" ht="64.8" hidden="1" spans="1:11">
      <c r="A452" s="21" t="s">
        <v>745</v>
      </c>
      <c r="B452" s="21" t="s">
        <v>769</v>
      </c>
      <c r="C452" s="21" t="s">
        <v>298</v>
      </c>
      <c r="D452" s="21">
        <v>16</v>
      </c>
      <c r="E452" s="21" t="s">
        <v>299</v>
      </c>
      <c r="F452" s="21" t="s">
        <v>300</v>
      </c>
      <c r="G452" s="21" t="s">
        <v>770</v>
      </c>
      <c r="H452" s="40">
        <v>16272</v>
      </c>
      <c r="I452" s="40">
        <v>0</v>
      </c>
      <c r="J452" s="40">
        <v>1274329.86</v>
      </c>
      <c r="K452" s="21"/>
    </row>
    <row r="453" ht="64.8" hidden="1" spans="1:11">
      <c r="A453" s="21" t="s">
        <v>745</v>
      </c>
      <c r="B453" s="21" t="s">
        <v>771</v>
      </c>
      <c r="C453" s="21" t="s">
        <v>298</v>
      </c>
      <c r="D453" s="21">
        <v>18</v>
      </c>
      <c r="E453" s="21" t="s">
        <v>299</v>
      </c>
      <c r="F453" s="21" t="s">
        <v>300</v>
      </c>
      <c r="G453" s="21" t="s">
        <v>772</v>
      </c>
      <c r="H453" s="40">
        <v>4430.19</v>
      </c>
      <c r="I453" s="40">
        <v>0</v>
      </c>
      <c r="J453" s="40">
        <v>1278760.05</v>
      </c>
      <c r="K453" s="21"/>
    </row>
    <row r="454" ht="64.8" hidden="1" spans="1:11">
      <c r="A454" s="21" t="s">
        <v>745</v>
      </c>
      <c r="B454" s="21" t="s">
        <v>771</v>
      </c>
      <c r="C454" s="21" t="s">
        <v>298</v>
      </c>
      <c r="D454" s="21">
        <v>18</v>
      </c>
      <c r="E454" s="21" t="s">
        <v>299</v>
      </c>
      <c r="F454" s="21" t="s">
        <v>300</v>
      </c>
      <c r="G454" s="21" t="s">
        <v>773</v>
      </c>
      <c r="H454" s="40">
        <v>27506</v>
      </c>
      <c r="I454" s="40">
        <v>0</v>
      </c>
      <c r="J454" s="40">
        <v>1306266.05</v>
      </c>
      <c r="K454" s="21"/>
    </row>
    <row r="455" ht="64.8" hidden="1" spans="1:11">
      <c r="A455" s="21" t="s">
        <v>745</v>
      </c>
      <c r="B455" s="21" t="s">
        <v>771</v>
      </c>
      <c r="C455" s="21" t="s">
        <v>298</v>
      </c>
      <c r="D455" s="21">
        <v>18</v>
      </c>
      <c r="E455" s="21" t="s">
        <v>299</v>
      </c>
      <c r="F455" s="21" t="s">
        <v>300</v>
      </c>
      <c r="G455" s="21" t="s">
        <v>774</v>
      </c>
      <c r="H455" s="40">
        <v>3000</v>
      </c>
      <c r="I455" s="40">
        <v>0</v>
      </c>
      <c r="J455" s="40">
        <v>1309266.05</v>
      </c>
      <c r="K455" s="21"/>
    </row>
    <row r="456" ht="64.8" hidden="1" spans="1:11">
      <c r="A456" s="21" t="s">
        <v>745</v>
      </c>
      <c r="B456" s="21" t="s">
        <v>771</v>
      </c>
      <c r="C456" s="21" t="s">
        <v>298</v>
      </c>
      <c r="D456" s="21">
        <v>18</v>
      </c>
      <c r="E456" s="21" t="s">
        <v>299</v>
      </c>
      <c r="F456" s="21" t="s">
        <v>300</v>
      </c>
      <c r="G456" s="21" t="s">
        <v>775</v>
      </c>
      <c r="H456" s="40">
        <v>1500</v>
      </c>
      <c r="I456" s="40">
        <v>0</v>
      </c>
      <c r="J456" s="40">
        <v>1310766.05</v>
      </c>
      <c r="K456" s="21"/>
    </row>
    <row r="457" ht="64.8" hidden="1" spans="1:11">
      <c r="A457" s="21" t="s">
        <v>745</v>
      </c>
      <c r="B457" s="21" t="s">
        <v>776</v>
      </c>
      <c r="C457" s="21" t="s">
        <v>298</v>
      </c>
      <c r="D457" s="21">
        <v>19</v>
      </c>
      <c r="E457" s="21" t="s">
        <v>299</v>
      </c>
      <c r="F457" s="21" t="s">
        <v>300</v>
      </c>
      <c r="G457" s="21" t="s">
        <v>777</v>
      </c>
      <c r="H457" s="40">
        <v>7008.5</v>
      </c>
      <c r="I457" s="40">
        <v>0</v>
      </c>
      <c r="J457" s="40">
        <v>1317774.55</v>
      </c>
      <c r="K457" s="21"/>
    </row>
    <row r="458" ht="64.8" hidden="1" spans="1:11">
      <c r="A458" s="21" t="s">
        <v>745</v>
      </c>
      <c r="B458" s="21" t="s">
        <v>778</v>
      </c>
      <c r="C458" s="21" t="s">
        <v>298</v>
      </c>
      <c r="D458" s="21">
        <v>20</v>
      </c>
      <c r="E458" s="21" t="s">
        <v>299</v>
      </c>
      <c r="F458" s="21" t="s">
        <v>300</v>
      </c>
      <c r="G458" s="21" t="s">
        <v>779</v>
      </c>
      <c r="H458" s="40">
        <v>1429</v>
      </c>
      <c r="I458" s="40">
        <v>0</v>
      </c>
      <c r="J458" s="40">
        <v>1319203.55</v>
      </c>
      <c r="K458" s="21"/>
    </row>
    <row r="459" ht="64.8" hidden="1" spans="1:11">
      <c r="A459" s="21" t="s">
        <v>745</v>
      </c>
      <c r="B459" s="21" t="s">
        <v>778</v>
      </c>
      <c r="C459" s="21" t="s">
        <v>298</v>
      </c>
      <c r="D459" s="21">
        <v>20</v>
      </c>
      <c r="E459" s="21" t="s">
        <v>299</v>
      </c>
      <c r="F459" s="21" t="s">
        <v>300</v>
      </c>
      <c r="G459" s="21" t="s">
        <v>780</v>
      </c>
      <c r="H459" s="40">
        <v>4837</v>
      </c>
      <c r="I459" s="40">
        <v>0</v>
      </c>
      <c r="J459" s="40">
        <v>1324040.55</v>
      </c>
      <c r="K459" s="21"/>
    </row>
    <row r="460" ht="54" hidden="1" spans="1:11">
      <c r="A460" s="21" t="s">
        <v>745</v>
      </c>
      <c r="B460" s="21" t="s">
        <v>781</v>
      </c>
      <c r="C460" s="21" t="s">
        <v>359</v>
      </c>
      <c r="D460" s="21">
        <v>3</v>
      </c>
      <c r="E460" s="21" t="s">
        <v>299</v>
      </c>
      <c r="F460" s="21" t="s">
        <v>300</v>
      </c>
      <c r="G460" s="21" t="s">
        <v>782</v>
      </c>
      <c r="H460" s="40">
        <v>20493.2</v>
      </c>
      <c r="I460" s="40">
        <v>0</v>
      </c>
      <c r="J460" s="40">
        <v>1344533.75</v>
      </c>
      <c r="K460" s="21"/>
    </row>
    <row r="461" ht="32.4" hidden="1" spans="1:11">
      <c r="A461" s="21" t="s">
        <v>745</v>
      </c>
      <c r="B461" s="21" t="s">
        <v>781</v>
      </c>
      <c r="C461" s="21" t="s">
        <v>359</v>
      </c>
      <c r="D461" s="21">
        <v>3</v>
      </c>
      <c r="E461" s="21" t="s">
        <v>299</v>
      </c>
      <c r="F461" s="21" t="s">
        <v>300</v>
      </c>
      <c r="G461" s="21" t="s">
        <v>783</v>
      </c>
      <c r="H461" s="40">
        <v>76838.15</v>
      </c>
      <c r="I461" s="40">
        <v>0</v>
      </c>
      <c r="J461" s="40">
        <v>1421371.9</v>
      </c>
      <c r="K461" s="21"/>
    </row>
    <row r="462" ht="97.2" hidden="1" spans="1:11">
      <c r="A462" s="21" t="s">
        <v>745</v>
      </c>
      <c r="B462" s="21" t="s">
        <v>784</v>
      </c>
      <c r="C462" s="21" t="s">
        <v>319</v>
      </c>
      <c r="D462" s="21">
        <v>6</v>
      </c>
      <c r="E462" s="21" t="s">
        <v>299</v>
      </c>
      <c r="F462" s="21" t="s">
        <v>300</v>
      </c>
      <c r="G462" s="21" t="s">
        <v>785</v>
      </c>
      <c r="H462" s="40">
        <v>55200</v>
      </c>
      <c r="I462" s="40">
        <v>0</v>
      </c>
      <c r="J462" s="40">
        <v>1476571.9</v>
      </c>
      <c r="K462" s="21"/>
    </row>
    <row r="463" ht="97.2" hidden="1" spans="1:11">
      <c r="A463" s="21" t="s">
        <v>745</v>
      </c>
      <c r="B463" s="21" t="s">
        <v>784</v>
      </c>
      <c r="C463" s="21" t="s">
        <v>319</v>
      </c>
      <c r="D463" s="21">
        <v>6</v>
      </c>
      <c r="E463" s="21" t="s">
        <v>299</v>
      </c>
      <c r="F463" s="21" t="s">
        <v>300</v>
      </c>
      <c r="G463" s="21" t="s">
        <v>786</v>
      </c>
      <c r="H463" s="40">
        <v>1567.88</v>
      </c>
      <c r="I463" s="40">
        <v>0</v>
      </c>
      <c r="J463" s="40">
        <v>1478139.78</v>
      </c>
      <c r="K463" s="21"/>
    </row>
    <row r="464" ht="97.2" hidden="1" spans="1:11">
      <c r="A464" s="21" t="s">
        <v>745</v>
      </c>
      <c r="B464" s="21" t="s">
        <v>784</v>
      </c>
      <c r="C464" s="21" t="s">
        <v>319</v>
      </c>
      <c r="D464" s="21">
        <v>7</v>
      </c>
      <c r="E464" s="21" t="s">
        <v>299</v>
      </c>
      <c r="F464" s="21" t="s">
        <v>300</v>
      </c>
      <c r="G464" s="21" t="s">
        <v>787</v>
      </c>
      <c r="H464" s="40">
        <v>0</v>
      </c>
      <c r="I464" s="40">
        <v>10997.98</v>
      </c>
      <c r="J464" s="40">
        <v>1467141.8</v>
      </c>
      <c r="K464" s="21"/>
    </row>
    <row r="465" ht="97.2" hidden="1" spans="1:11">
      <c r="A465" s="21" t="s">
        <v>745</v>
      </c>
      <c r="B465" s="21" t="s">
        <v>784</v>
      </c>
      <c r="C465" s="21" t="s">
        <v>319</v>
      </c>
      <c r="D465" s="21">
        <v>7</v>
      </c>
      <c r="E465" s="21" t="s">
        <v>299</v>
      </c>
      <c r="F465" s="21" t="s">
        <v>300</v>
      </c>
      <c r="G465" s="21" t="s">
        <v>788</v>
      </c>
      <c r="H465" s="40">
        <v>0</v>
      </c>
      <c r="I465" s="40">
        <v>2208.26</v>
      </c>
      <c r="J465" s="40">
        <v>1464933.54</v>
      </c>
      <c r="K465" s="21"/>
    </row>
    <row r="466" ht="97.2" hidden="1" spans="1:11">
      <c r="A466" s="21" t="s">
        <v>745</v>
      </c>
      <c r="B466" s="21" t="s">
        <v>784</v>
      </c>
      <c r="C466" s="21" t="s">
        <v>319</v>
      </c>
      <c r="D466" s="21">
        <v>7</v>
      </c>
      <c r="E466" s="21" t="s">
        <v>299</v>
      </c>
      <c r="F466" s="21" t="s">
        <v>300</v>
      </c>
      <c r="G466" s="21" t="s">
        <v>789</v>
      </c>
      <c r="H466" s="40">
        <v>0</v>
      </c>
      <c r="I466" s="40">
        <v>2207.98</v>
      </c>
      <c r="J466" s="40">
        <v>1462725.56</v>
      </c>
      <c r="K466" s="21"/>
    </row>
    <row r="467" ht="97.2" hidden="1" spans="1:11">
      <c r="A467" s="21" t="s">
        <v>745</v>
      </c>
      <c r="B467" s="21" t="s">
        <v>784</v>
      </c>
      <c r="C467" s="21" t="s">
        <v>319</v>
      </c>
      <c r="D467" s="21">
        <v>7</v>
      </c>
      <c r="E467" s="21" t="s">
        <v>299</v>
      </c>
      <c r="F467" s="21" t="s">
        <v>300</v>
      </c>
      <c r="G467" s="21" t="s">
        <v>790</v>
      </c>
      <c r="H467" s="40">
        <v>0</v>
      </c>
      <c r="I467" s="40">
        <v>2492.88</v>
      </c>
      <c r="J467" s="40">
        <v>1460232.68</v>
      </c>
      <c r="K467" s="21"/>
    </row>
    <row r="468" ht="97.2" hidden="1" spans="1:11">
      <c r="A468" s="21" t="s">
        <v>745</v>
      </c>
      <c r="B468" s="21" t="s">
        <v>784</v>
      </c>
      <c r="C468" s="21" t="s">
        <v>319</v>
      </c>
      <c r="D468" s="21">
        <v>7</v>
      </c>
      <c r="E468" s="21" t="s">
        <v>299</v>
      </c>
      <c r="F468" s="21" t="s">
        <v>300</v>
      </c>
      <c r="G468" s="21" t="s">
        <v>791</v>
      </c>
      <c r="H468" s="40">
        <v>0</v>
      </c>
      <c r="I468" s="40">
        <v>2136.75</v>
      </c>
      <c r="J468" s="40">
        <v>1458095.93</v>
      </c>
      <c r="K468" s="21"/>
    </row>
    <row r="469" ht="97.2" hidden="1" spans="1:11">
      <c r="A469" s="21" t="s">
        <v>745</v>
      </c>
      <c r="B469" s="21" t="s">
        <v>784</v>
      </c>
      <c r="C469" s="21" t="s">
        <v>319</v>
      </c>
      <c r="D469" s="21">
        <v>7</v>
      </c>
      <c r="E469" s="21" t="s">
        <v>299</v>
      </c>
      <c r="F469" s="21" t="s">
        <v>300</v>
      </c>
      <c r="G469" s="21" t="s">
        <v>792</v>
      </c>
      <c r="H469" s="40">
        <v>0</v>
      </c>
      <c r="I469" s="40">
        <v>2301.99</v>
      </c>
      <c r="J469" s="40">
        <v>1455793.94</v>
      </c>
      <c r="K469" s="21"/>
    </row>
    <row r="470" ht="97.2" hidden="1" spans="1:11">
      <c r="A470" s="21" t="s">
        <v>745</v>
      </c>
      <c r="B470" s="21" t="s">
        <v>784</v>
      </c>
      <c r="C470" s="21" t="s">
        <v>319</v>
      </c>
      <c r="D470" s="21">
        <v>7</v>
      </c>
      <c r="E470" s="21" t="s">
        <v>299</v>
      </c>
      <c r="F470" s="21" t="s">
        <v>300</v>
      </c>
      <c r="G470" s="21" t="s">
        <v>793</v>
      </c>
      <c r="H470" s="40">
        <v>0</v>
      </c>
      <c r="I470" s="40">
        <v>4666.81</v>
      </c>
      <c r="J470" s="40">
        <v>1451127.13</v>
      </c>
      <c r="K470" s="21"/>
    </row>
    <row r="471" ht="97.2" hidden="1" spans="1:11">
      <c r="A471" s="21" t="s">
        <v>745</v>
      </c>
      <c r="B471" s="21" t="s">
        <v>784</v>
      </c>
      <c r="C471" s="21" t="s">
        <v>319</v>
      </c>
      <c r="D471" s="21">
        <v>7</v>
      </c>
      <c r="E471" s="21" t="s">
        <v>299</v>
      </c>
      <c r="F471" s="21" t="s">
        <v>300</v>
      </c>
      <c r="G471" s="21" t="s">
        <v>794</v>
      </c>
      <c r="H471" s="40">
        <v>0</v>
      </c>
      <c r="I471" s="40">
        <v>8832.12</v>
      </c>
      <c r="J471" s="40">
        <v>1442295.01</v>
      </c>
      <c r="K471" s="21"/>
    </row>
    <row r="472" ht="97.2" hidden="1" spans="1:11">
      <c r="A472" s="21" t="s">
        <v>745</v>
      </c>
      <c r="B472" s="21" t="s">
        <v>784</v>
      </c>
      <c r="C472" s="21" t="s">
        <v>319</v>
      </c>
      <c r="D472" s="21">
        <v>7</v>
      </c>
      <c r="E472" s="21" t="s">
        <v>299</v>
      </c>
      <c r="F472" s="21" t="s">
        <v>300</v>
      </c>
      <c r="G472" s="21" t="s">
        <v>795</v>
      </c>
      <c r="H472" s="40">
        <v>0</v>
      </c>
      <c r="I472" s="40">
        <v>628.93</v>
      </c>
      <c r="J472" s="40">
        <v>1441666.08</v>
      </c>
      <c r="K472" s="21"/>
    </row>
    <row r="473" ht="97.2" hidden="1" spans="1:11">
      <c r="A473" s="21" t="s">
        <v>745</v>
      </c>
      <c r="B473" s="21" t="s">
        <v>784</v>
      </c>
      <c r="C473" s="21" t="s">
        <v>319</v>
      </c>
      <c r="D473" s="21">
        <v>7</v>
      </c>
      <c r="E473" s="21" t="s">
        <v>299</v>
      </c>
      <c r="F473" s="21" t="s">
        <v>300</v>
      </c>
      <c r="G473" s="21" t="s">
        <v>796</v>
      </c>
      <c r="H473" s="40">
        <v>0</v>
      </c>
      <c r="I473" s="40">
        <v>1257.12</v>
      </c>
      <c r="J473" s="40">
        <v>1440408.96</v>
      </c>
      <c r="K473" s="21"/>
    </row>
    <row r="474" ht="97.2" hidden="1" spans="1:11">
      <c r="A474" s="21" t="s">
        <v>745</v>
      </c>
      <c r="B474" s="21" t="s">
        <v>784</v>
      </c>
      <c r="C474" s="21" t="s">
        <v>319</v>
      </c>
      <c r="D474" s="21">
        <v>7</v>
      </c>
      <c r="E474" s="21" t="s">
        <v>299</v>
      </c>
      <c r="F474" s="21" t="s">
        <v>300</v>
      </c>
      <c r="G474" s="21" t="s">
        <v>797</v>
      </c>
      <c r="H474" s="40">
        <v>0</v>
      </c>
      <c r="I474" s="40">
        <v>284.9</v>
      </c>
      <c r="J474" s="40">
        <v>1440124.06</v>
      </c>
      <c r="K474" s="21"/>
    </row>
    <row r="475" ht="97.2" hidden="1" spans="1:11">
      <c r="A475" s="21" t="s">
        <v>745</v>
      </c>
      <c r="B475" s="21" t="s">
        <v>784</v>
      </c>
      <c r="C475" s="21" t="s">
        <v>319</v>
      </c>
      <c r="D475" s="21">
        <v>7</v>
      </c>
      <c r="E475" s="21" t="s">
        <v>299</v>
      </c>
      <c r="F475" s="21" t="s">
        <v>300</v>
      </c>
      <c r="G475" s="21" t="s">
        <v>798</v>
      </c>
      <c r="H475" s="40">
        <v>0</v>
      </c>
      <c r="I475" s="40">
        <v>853.29</v>
      </c>
      <c r="J475" s="40">
        <v>1439270.77</v>
      </c>
      <c r="K475" s="21"/>
    </row>
    <row r="476" ht="97.2" hidden="1" spans="1:11">
      <c r="A476" s="21" t="s">
        <v>745</v>
      </c>
      <c r="B476" s="21" t="s">
        <v>784</v>
      </c>
      <c r="C476" s="21" t="s">
        <v>319</v>
      </c>
      <c r="D476" s="21">
        <v>7</v>
      </c>
      <c r="E476" s="21" t="s">
        <v>299</v>
      </c>
      <c r="F476" s="21" t="s">
        <v>300</v>
      </c>
      <c r="G476" s="21" t="s">
        <v>799</v>
      </c>
      <c r="H476" s="40">
        <v>0</v>
      </c>
      <c r="I476" s="40">
        <v>436.61</v>
      </c>
      <c r="J476" s="40">
        <v>1438834.16</v>
      </c>
      <c r="K476" s="21"/>
    </row>
    <row r="477" ht="97.2" hidden="1" spans="1:11">
      <c r="A477" s="21" t="s">
        <v>745</v>
      </c>
      <c r="B477" s="21" t="s">
        <v>784</v>
      </c>
      <c r="C477" s="21" t="s">
        <v>319</v>
      </c>
      <c r="D477" s="21">
        <v>7</v>
      </c>
      <c r="E477" s="21" t="s">
        <v>299</v>
      </c>
      <c r="F477" s="21" t="s">
        <v>300</v>
      </c>
      <c r="G477" s="21" t="s">
        <v>800</v>
      </c>
      <c r="H477" s="40">
        <v>0</v>
      </c>
      <c r="I477" s="40">
        <v>569.8</v>
      </c>
      <c r="J477" s="40">
        <v>1438264.36</v>
      </c>
      <c r="K477" s="21"/>
    </row>
    <row r="478" ht="97.2" hidden="1" spans="1:11">
      <c r="A478" s="21" t="s">
        <v>745</v>
      </c>
      <c r="B478" s="21" t="s">
        <v>784</v>
      </c>
      <c r="C478" s="21" t="s">
        <v>319</v>
      </c>
      <c r="D478" s="21">
        <v>7</v>
      </c>
      <c r="E478" s="21" t="s">
        <v>299</v>
      </c>
      <c r="F478" s="21" t="s">
        <v>300</v>
      </c>
      <c r="G478" s="21" t="s">
        <v>801</v>
      </c>
      <c r="H478" s="40">
        <v>0</v>
      </c>
      <c r="I478" s="40">
        <v>900</v>
      </c>
      <c r="J478" s="40">
        <v>1437364.36</v>
      </c>
      <c r="K478" s="21"/>
    </row>
    <row r="479" ht="97.2" hidden="1" spans="1:11">
      <c r="A479" s="21" t="s">
        <v>745</v>
      </c>
      <c r="B479" s="21" t="s">
        <v>784</v>
      </c>
      <c r="C479" s="21" t="s">
        <v>319</v>
      </c>
      <c r="D479" s="21">
        <v>7</v>
      </c>
      <c r="E479" s="21" t="s">
        <v>299</v>
      </c>
      <c r="F479" s="21" t="s">
        <v>300</v>
      </c>
      <c r="G479" s="21" t="s">
        <v>802</v>
      </c>
      <c r="H479" s="40">
        <v>0</v>
      </c>
      <c r="I479" s="40">
        <v>356.39</v>
      </c>
      <c r="J479" s="40">
        <v>1437007.97</v>
      </c>
      <c r="K479" s="21"/>
    </row>
    <row r="480" ht="97.2" hidden="1" spans="1:11">
      <c r="A480" s="21" t="s">
        <v>745</v>
      </c>
      <c r="B480" s="21" t="s">
        <v>784</v>
      </c>
      <c r="C480" s="21" t="s">
        <v>319</v>
      </c>
      <c r="D480" s="21">
        <v>7</v>
      </c>
      <c r="E480" s="21" t="s">
        <v>299</v>
      </c>
      <c r="F480" s="21" t="s">
        <v>300</v>
      </c>
      <c r="G480" s="21" t="s">
        <v>803</v>
      </c>
      <c r="H480" s="40">
        <v>0</v>
      </c>
      <c r="I480" s="40">
        <v>162</v>
      </c>
      <c r="J480" s="40">
        <v>1436845.97</v>
      </c>
      <c r="K480" s="21"/>
    </row>
    <row r="481" ht="97.2" hidden="1" spans="1:11">
      <c r="A481" s="21" t="s">
        <v>745</v>
      </c>
      <c r="B481" s="21" t="s">
        <v>784</v>
      </c>
      <c r="C481" s="21" t="s">
        <v>319</v>
      </c>
      <c r="D481" s="21">
        <v>7</v>
      </c>
      <c r="E481" s="21" t="s">
        <v>299</v>
      </c>
      <c r="F481" s="21" t="s">
        <v>300</v>
      </c>
      <c r="G481" s="21" t="s">
        <v>804</v>
      </c>
      <c r="H481" s="40">
        <v>0</v>
      </c>
      <c r="I481" s="40">
        <v>7648.98</v>
      </c>
      <c r="J481" s="40">
        <v>1429196.99</v>
      </c>
      <c r="K481" s="21"/>
    </row>
    <row r="482" ht="97.2" hidden="1" spans="1:11">
      <c r="A482" s="21" t="s">
        <v>745</v>
      </c>
      <c r="B482" s="21" t="s">
        <v>784</v>
      </c>
      <c r="C482" s="21" t="s">
        <v>319</v>
      </c>
      <c r="D482" s="21">
        <v>7</v>
      </c>
      <c r="E482" s="21" t="s">
        <v>299</v>
      </c>
      <c r="F482" s="21" t="s">
        <v>300</v>
      </c>
      <c r="G482" s="21" t="s">
        <v>805</v>
      </c>
      <c r="H482" s="40">
        <v>0</v>
      </c>
      <c r="I482" s="40">
        <v>1507.84</v>
      </c>
      <c r="J482" s="40">
        <v>1427689.15</v>
      </c>
      <c r="K482" s="21"/>
    </row>
    <row r="483" ht="97.2" hidden="1" spans="1:11">
      <c r="A483" s="21" t="s">
        <v>745</v>
      </c>
      <c r="B483" s="21" t="s">
        <v>784</v>
      </c>
      <c r="C483" s="21" t="s">
        <v>319</v>
      </c>
      <c r="D483" s="21">
        <v>7</v>
      </c>
      <c r="E483" s="21" t="s">
        <v>299</v>
      </c>
      <c r="F483" s="21" t="s">
        <v>300</v>
      </c>
      <c r="G483" s="21" t="s">
        <v>806</v>
      </c>
      <c r="H483" s="40">
        <v>0</v>
      </c>
      <c r="I483" s="40">
        <v>6124.21</v>
      </c>
      <c r="J483" s="40">
        <v>1421564.94</v>
      </c>
      <c r="K483" s="21"/>
    </row>
    <row r="484" ht="97.2" hidden="1" spans="1:11">
      <c r="A484" s="21" t="s">
        <v>745</v>
      </c>
      <c r="B484" s="21" t="s">
        <v>784</v>
      </c>
      <c r="C484" s="21" t="s">
        <v>319</v>
      </c>
      <c r="D484" s="21">
        <v>7</v>
      </c>
      <c r="E484" s="21" t="s">
        <v>299</v>
      </c>
      <c r="F484" s="21" t="s">
        <v>300</v>
      </c>
      <c r="G484" s="21" t="s">
        <v>807</v>
      </c>
      <c r="H484" s="40">
        <v>0</v>
      </c>
      <c r="I484" s="40">
        <v>1813</v>
      </c>
      <c r="J484" s="40">
        <v>1419751.94</v>
      </c>
      <c r="K484" s="21"/>
    </row>
    <row r="485" ht="97.2" hidden="1" spans="1:11">
      <c r="A485" s="21" t="s">
        <v>745</v>
      </c>
      <c r="B485" s="21" t="s">
        <v>784</v>
      </c>
      <c r="C485" s="21" t="s">
        <v>319</v>
      </c>
      <c r="D485" s="21">
        <v>7</v>
      </c>
      <c r="E485" s="21" t="s">
        <v>299</v>
      </c>
      <c r="F485" s="21" t="s">
        <v>300</v>
      </c>
      <c r="G485" s="21" t="s">
        <v>808</v>
      </c>
      <c r="H485" s="40">
        <v>0</v>
      </c>
      <c r="I485" s="40">
        <v>738</v>
      </c>
      <c r="J485" s="40">
        <v>1419013.94</v>
      </c>
      <c r="K485" s="21"/>
    </row>
    <row r="486" ht="97.2" hidden="1" spans="1:11">
      <c r="A486" s="21" t="s">
        <v>745</v>
      </c>
      <c r="B486" s="21" t="s">
        <v>784</v>
      </c>
      <c r="C486" s="21" t="s">
        <v>319</v>
      </c>
      <c r="D486" s="21">
        <v>8</v>
      </c>
      <c r="E486" s="21" t="s">
        <v>299</v>
      </c>
      <c r="F486" s="21" t="s">
        <v>300</v>
      </c>
      <c r="G486" s="21" t="s">
        <v>809</v>
      </c>
      <c r="H486" s="40">
        <v>30800</v>
      </c>
      <c r="I486" s="40">
        <v>0</v>
      </c>
      <c r="J486" s="40">
        <v>1449813.94</v>
      </c>
      <c r="K486" s="21"/>
    </row>
    <row r="487" ht="97.2" hidden="1" spans="1:11">
      <c r="A487" s="21" t="s">
        <v>745</v>
      </c>
      <c r="B487" s="21" t="s">
        <v>784</v>
      </c>
      <c r="C487" s="21" t="s">
        <v>319</v>
      </c>
      <c r="D487" s="21">
        <v>8</v>
      </c>
      <c r="E487" s="21" t="s">
        <v>299</v>
      </c>
      <c r="F487" s="21" t="s">
        <v>300</v>
      </c>
      <c r="G487" s="21" t="s">
        <v>810</v>
      </c>
      <c r="H487" s="40">
        <v>2029.5</v>
      </c>
      <c r="I487" s="40">
        <v>0</v>
      </c>
      <c r="J487" s="40">
        <v>1451843.44</v>
      </c>
      <c r="K487" s="21"/>
    </row>
    <row r="488" ht="97.2" hidden="1" spans="1:11">
      <c r="A488" s="21" t="s">
        <v>745</v>
      </c>
      <c r="B488" s="21" t="s">
        <v>784</v>
      </c>
      <c r="C488" s="21" t="s">
        <v>319</v>
      </c>
      <c r="D488" s="21">
        <v>9</v>
      </c>
      <c r="E488" s="21" t="s">
        <v>299</v>
      </c>
      <c r="F488" s="21" t="s">
        <v>300</v>
      </c>
      <c r="G488" s="21" t="s">
        <v>811</v>
      </c>
      <c r="H488" s="40">
        <v>0</v>
      </c>
      <c r="I488" s="40">
        <v>2849</v>
      </c>
      <c r="J488" s="40">
        <v>1448994.44</v>
      </c>
      <c r="K488" s="21"/>
    </row>
    <row r="489" ht="97.2" hidden="1" spans="1:11">
      <c r="A489" s="21" t="s">
        <v>745</v>
      </c>
      <c r="B489" s="21" t="s">
        <v>784</v>
      </c>
      <c r="C489" s="21" t="s">
        <v>319</v>
      </c>
      <c r="D489" s="21">
        <v>9</v>
      </c>
      <c r="E489" s="21" t="s">
        <v>299</v>
      </c>
      <c r="F489" s="21" t="s">
        <v>300</v>
      </c>
      <c r="G489" s="21" t="s">
        <v>812</v>
      </c>
      <c r="H489" s="40">
        <v>0</v>
      </c>
      <c r="I489" s="40">
        <v>433.33</v>
      </c>
      <c r="J489" s="40">
        <v>1448561.11</v>
      </c>
      <c r="K489" s="21"/>
    </row>
    <row r="490" ht="97.2" hidden="1" spans="1:11">
      <c r="A490" s="21" t="s">
        <v>745</v>
      </c>
      <c r="B490" s="21" t="s">
        <v>784</v>
      </c>
      <c r="C490" s="21" t="s">
        <v>319</v>
      </c>
      <c r="D490" s="21">
        <v>9</v>
      </c>
      <c r="E490" s="21" t="s">
        <v>299</v>
      </c>
      <c r="F490" s="21" t="s">
        <v>300</v>
      </c>
      <c r="G490" s="21" t="s">
        <v>813</v>
      </c>
      <c r="H490" s="40">
        <v>0</v>
      </c>
      <c r="I490" s="40">
        <v>32239.39</v>
      </c>
      <c r="J490" s="40">
        <v>1416321.72</v>
      </c>
      <c r="K490" s="21"/>
    </row>
    <row r="491" ht="97.2" hidden="1" spans="1:11">
      <c r="A491" s="21" t="s">
        <v>745</v>
      </c>
      <c r="B491" s="21" t="s">
        <v>784</v>
      </c>
      <c r="C491" s="21" t="s">
        <v>319</v>
      </c>
      <c r="D491" s="21">
        <v>9</v>
      </c>
      <c r="E491" s="21" t="s">
        <v>299</v>
      </c>
      <c r="F491" s="21" t="s">
        <v>300</v>
      </c>
      <c r="G491" s="21" t="s">
        <v>814</v>
      </c>
      <c r="H491" s="40">
        <v>0</v>
      </c>
      <c r="I491" s="40">
        <v>4455.85</v>
      </c>
      <c r="J491" s="40">
        <v>1411865.87</v>
      </c>
      <c r="K491" s="21"/>
    </row>
    <row r="492" ht="97.2" hidden="1" spans="1:11">
      <c r="A492" s="21" t="s">
        <v>745</v>
      </c>
      <c r="B492" s="21" t="s">
        <v>784</v>
      </c>
      <c r="C492" s="21" t="s">
        <v>319</v>
      </c>
      <c r="D492" s="21">
        <v>9</v>
      </c>
      <c r="E492" s="21" t="s">
        <v>299</v>
      </c>
      <c r="F492" s="21" t="s">
        <v>300</v>
      </c>
      <c r="G492" s="21" t="s">
        <v>815</v>
      </c>
      <c r="H492" s="40">
        <v>0</v>
      </c>
      <c r="I492" s="40">
        <v>2908.75</v>
      </c>
      <c r="J492" s="40">
        <v>1408957.12</v>
      </c>
      <c r="K492" s="21"/>
    </row>
    <row r="493" ht="97.2" hidden="1" spans="1:11">
      <c r="A493" s="21" t="s">
        <v>745</v>
      </c>
      <c r="B493" s="21" t="s">
        <v>784</v>
      </c>
      <c r="C493" s="21" t="s">
        <v>319</v>
      </c>
      <c r="D493" s="21">
        <v>9</v>
      </c>
      <c r="E493" s="21" t="s">
        <v>299</v>
      </c>
      <c r="F493" s="21" t="s">
        <v>300</v>
      </c>
      <c r="G493" s="21" t="s">
        <v>816</v>
      </c>
      <c r="H493" s="40">
        <v>0</v>
      </c>
      <c r="I493" s="40">
        <v>609.33</v>
      </c>
      <c r="J493" s="40">
        <v>1408347.79</v>
      </c>
      <c r="K493" s="21"/>
    </row>
    <row r="494" ht="97.2" hidden="1" spans="1:11">
      <c r="A494" s="21" t="s">
        <v>745</v>
      </c>
      <c r="B494" s="21" t="s">
        <v>784</v>
      </c>
      <c r="C494" s="21" t="s">
        <v>319</v>
      </c>
      <c r="D494" s="21">
        <v>9</v>
      </c>
      <c r="E494" s="21" t="s">
        <v>299</v>
      </c>
      <c r="F494" s="21" t="s">
        <v>300</v>
      </c>
      <c r="G494" s="21" t="s">
        <v>817</v>
      </c>
      <c r="H494" s="40">
        <v>0</v>
      </c>
      <c r="I494" s="40">
        <v>1433.33</v>
      </c>
      <c r="J494" s="40">
        <v>1406914.46</v>
      </c>
      <c r="K494" s="21"/>
    </row>
    <row r="495" ht="97.2" hidden="1" spans="1:11">
      <c r="A495" s="21" t="s">
        <v>745</v>
      </c>
      <c r="B495" s="21" t="s">
        <v>784</v>
      </c>
      <c r="C495" s="21" t="s">
        <v>319</v>
      </c>
      <c r="D495" s="21">
        <v>9</v>
      </c>
      <c r="E495" s="21" t="s">
        <v>299</v>
      </c>
      <c r="F495" s="21" t="s">
        <v>300</v>
      </c>
      <c r="G495" s="21" t="s">
        <v>818</v>
      </c>
      <c r="H495" s="40">
        <v>0</v>
      </c>
      <c r="I495" s="40">
        <v>2358.49</v>
      </c>
      <c r="J495" s="40">
        <v>1404555.97</v>
      </c>
      <c r="K495" s="21"/>
    </row>
    <row r="496" ht="97.2" hidden="1" spans="1:11">
      <c r="A496" s="21" t="s">
        <v>745</v>
      </c>
      <c r="B496" s="21" t="s">
        <v>784</v>
      </c>
      <c r="C496" s="21" t="s">
        <v>319</v>
      </c>
      <c r="D496" s="21">
        <v>9</v>
      </c>
      <c r="E496" s="21" t="s">
        <v>299</v>
      </c>
      <c r="F496" s="21" t="s">
        <v>300</v>
      </c>
      <c r="G496" s="21" t="s">
        <v>819</v>
      </c>
      <c r="H496" s="40">
        <v>0</v>
      </c>
      <c r="I496" s="40">
        <v>289.08</v>
      </c>
      <c r="J496" s="40">
        <v>1404266.89</v>
      </c>
      <c r="K496" s="21"/>
    </row>
    <row r="497" ht="97.2" hidden="1" spans="1:11">
      <c r="A497" s="21" t="s">
        <v>745</v>
      </c>
      <c r="B497" s="21" t="s">
        <v>784</v>
      </c>
      <c r="C497" s="21" t="s">
        <v>319</v>
      </c>
      <c r="D497" s="21">
        <v>9</v>
      </c>
      <c r="E497" s="21" t="s">
        <v>299</v>
      </c>
      <c r="F497" s="21" t="s">
        <v>300</v>
      </c>
      <c r="G497" s="21" t="s">
        <v>820</v>
      </c>
      <c r="H497" s="40">
        <v>0</v>
      </c>
      <c r="I497" s="40">
        <v>11479.21</v>
      </c>
      <c r="J497" s="40">
        <v>1392787.68</v>
      </c>
      <c r="K497" s="21"/>
    </row>
    <row r="498" ht="97.2" hidden="1" spans="1:11">
      <c r="A498" s="21" t="s">
        <v>745</v>
      </c>
      <c r="B498" s="21" t="s">
        <v>784</v>
      </c>
      <c r="C498" s="21" t="s">
        <v>319</v>
      </c>
      <c r="D498" s="21">
        <v>9</v>
      </c>
      <c r="E498" s="21" t="s">
        <v>299</v>
      </c>
      <c r="F498" s="21" t="s">
        <v>300</v>
      </c>
      <c r="G498" s="21" t="s">
        <v>821</v>
      </c>
      <c r="H498" s="40">
        <v>0</v>
      </c>
      <c r="I498" s="40">
        <v>800</v>
      </c>
      <c r="J498" s="40">
        <v>1391987.68</v>
      </c>
      <c r="K498" s="21"/>
    </row>
    <row r="499" ht="97.2" hidden="1" spans="1:11">
      <c r="A499" s="21" t="s">
        <v>745</v>
      </c>
      <c r="B499" s="21" t="s">
        <v>784</v>
      </c>
      <c r="C499" s="21" t="s">
        <v>319</v>
      </c>
      <c r="D499" s="21">
        <v>9</v>
      </c>
      <c r="E499" s="21" t="s">
        <v>299</v>
      </c>
      <c r="F499" s="21" t="s">
        <v>300</v>
      </c>
      <c r="G499" s="21" t="s">
        <v>822</v>
      </c>
      <c r="H499" s="40">
        <v>0</v>
      </c>
      <c r="I499" s="40">
        <v>664.84</v>
      </c>
      <c r="J499" s="40">
        <v>1391322.84</v>
      </c>
      <c r="K499" s="21"/>
    </row>
    <row r="500" ht="97.2" hidden="1" spans="1:11">
      <c r="A500" s="21" t="s">
        <v>745</v>
      </c>
      <c r="B500" s="21" t="s">
        <v>784</v>
      </c>
      <c r="C500" s="21" t="s">
        <v>319</v>
      </c>
      <c r="D500" s="21">
        <v>9</v>
      </c>
      <c r="E500" s="21" t="s">
        <v>299</v>
      </c>
      <c r="F500" s="21" t="s">
        <v>300</v>
      </c>
      <c r="G500" s="21" t="s">
        <v>823</v>
      </c>
      <c r="H500" s="40">
        <v>0</v>
      </c>
      <c r="I500" s="40">
        <v>1000</v>
      </c>
      <c r="J500" s="40">
        <v>1390322.84</v>
      </c>
      <c r="K500" s="21"/>
    </row>
    <row r="501" ht="97.2" hidden="1" spans="1:11">
      <c r="A501" s="21" t="s">
        <v>745</v>
      </c>
      <c r="B501" s="21" t="s">
        <v>784</v>
      </c>
      <c r="C501" s="21" t="s">
        <v>319</v>
      </c>
      <c r="D501" s="21">
        <v>9</v>
      </c>
      <c r="E501" s="21" t="s">
        <v>299</v>
      </c>
      <c r="F501" s="21" t="s">
        <v>300</v>
      </c>
      <c r="G501" s="21" t="s">
        <v>460</v>
      </c>
      <c r="H501" s="40">
        <v>0</v>
      </c>
      <c r="I501" s="40">
        <v>291</v>
      </c>
      <c r="J501" s="40">
        <v>1390031.84</v>
      </c>
      <c r="K501" s="21"/>
    </row>
    <row r="502" ht="97.2" hidden="1" spans="1:11">
      <c r="A502" s="21" t="s">
        <v>745</v>
      </c>
      <c r="B502" s="21" t="s">
        <v>784</v>
      </c>
      <c r="C502" s="21" t="s">
        <v>319</v>
      </c>
      <c r="D502" s="21">
        <v>9</v>
      </c>
      <c r="E502" s="21" t="s">
        <v>299</v>
      </c>
      <c r="F502" s="21" t="s">
        <v>300</v>
      </c>
      <c r="G502" s="21" t="s">
        <v>824</v>
      </c>
      <c r="H502" s="40">
        <v>0</v>
      </c>
      <c r="I502" s="40">
        <v>1779.94</v>
      </c>
      <c r="J502" s="40">
        <v>1388251.9</v>
      </c>
      <c r="K502" s="21"/>
    </row>
    <row r="503" ht="97.2" hidden="1" spans="1:11">
      <c r="A503" s="21" t="s">
        <v>745</v>
      </c>
      <c r="B503" s="21" t="s">
        <v>784</v>
      </c>
      <c r="C503" s="21" t="s">
        <v>319</v>
      </c>
      <c r="D503" s="21">
        <v>9</v>
      </c>
      <c r="E503" s="21" t="s">
        <v>299</v>
      </c>
      <c r="F503" s="21" t="s">
        <v>300</v>
      </c>
      <c r="G503" s="21" t="s">
        <v>825</v>
      </c>
      <c r="H503" s="40">
        <v>0</v>
      </c>
      <c r="I503" s="40">
        <v>6432.25</v>
      </c>
      <c r="J503" s="40">
        <v>1381819.65</v>
      </c>
      <c r="K503" s="21"/>
    </row>
    <row r="504" ht="97.2" hidden="1" spans="1:11">
      <c r="A504" s="21" t="s">
        <v>745</v>
      </c>
      <c r="B504" s="21" t="s">
        <v>784</v>
      </c>
      <c r="C504" s="21" t="s">
        <v>319</v>
      </c>
      <c r="D504" s="21">
        <v>9</v>
      </c>
      <c r="E504" s="21" t="s">
        <v>299</v>
      </c>
      <c r="F504" s="21" t="s">
        <v>300</v>
      </c>
      <c r="G504" s="21" t="s">
        <v>415</v>
      </c>
      <c r="H504" s="40">
        <v>0</v>
      </c>
      <c r="I504" s="40">
        <v>807.84</v>
      </c>
      <c r="J504" s="40">
        <v>1381011.81</v>
      </c>
      <c r="K504" s="21"/>
    </row>
    <row r="505" ht="97.2" hidden="1" spans="1:11">
      <c r="A505" s="21" t="s">
        <v>745</v>
      </c>
      <c r="B505" s="21" t="s">
        <v>784</v>
      </c>
      <c r="C505" s="21" t="s">
        <v>319</v>
      </c>
      <c r="D505" s="21">
        <v>9</v>
      </c>
      <c r="E505" s="21" t="s">
        <v>299</v>
      </c>
      <c r="F505" s="21" t="s">
        <v>300</v>
      </c>
      <c r="G505" s="21" t="s">
        <v>826</v>
      </c>
      <c r="H505" s="40">
        <v>0</v>
      </c>
      <c r="I505" s="40">
        <v>1667</v>
      </c>
      <c r="J505" s="40">
        <v>1379344.81</v>
      </c>
      <c r="K505" s="21"/>
    </row>
    <row r="506" ht="97.2" hidden="1" spans="1:11">
      <c r="A506" s="21" t="s">
        <v>745</v>
      </c>
      <c r="B506" s="21" t="s">
        <v>784</v>
      </c>
      <c r="C506" s="21" t="s">
        <v>319</v>
      </c>
      <c r="D506" s="21">
        <v>9</v>
      </c>
      <c r="E506" s="21" t="s">
        <v>299</v>
      </c>
      <c r="F506" s="21" t="s">
        <v>300</v>
      </c>
      <c r="G506" s="21" t="s">
        <v>827</v>
      </c>
      <c r="H506" s="40">
        <v>0</v>
      </c>
      <c r="I506" s="40">
        <v>4160.28</v>
      </c>
      <c r="J506" s="40">
        <v>1375184.53</v>
      </c>
      <c r="K506" s="21"/>
    </row>
    <row r="507" ht="97.2" hidden="1" spans="1:11">
      <c r="A507" s="21" t="s">
        <v>745</v>
      </c>
      <c r="B507" s="21" t="s">
        <v>784</v>
      </c>
      <c r="C507" s="21" t="s">
        <v>319</v>
      </c>
      <c r="D507" s="21">
        <v>9</v>
      </c>
      <c r="E507" s="21" t="s">
        <v>299</v>
      </c>
      <c r="F507" s="21" t="s">
        <v>300</v>
      </c>
      <c r="G507" s="21" t="s">
        <v>472</v>
      </c>
      <c r="H507" s="40">
        <v>0</v>
      </c>
      <c r="I507" s="40">
        <v>907</v>
      </c>
      <c r="J507" s="40">
        <v>1374277.53</v>
      </c>
      <c r="K507" s="21"/>
    </row>
    <row r="508" ht="97.2" hidden="1" spans="1:11">
      <c r="A508" s="21" t="s">
        <v>745</v>
      </c>
      <c r="B508" s="21" t="s">
        <v>784</v>
      </c>
      <c r="C508" s="21" t="s">
        <v>319</v>
      </c>
      <c r="D508" s="21">
        <v>9</v>
      </c>
      <c r="E508" s="21" t="s">
        <v>299</v>
      </c>
      <c r="F508" s="21" t="s">
        <v>300</v>
      </c>
      <c r="G508" s="21" t="s">
        <v>473</v>
      </c>
      <c r="H508" s="40">
        <v>0</v>
      </c>
      <c r="I508" s="40">
        <v>5847.83</v>
      </c>
      <c r="J508" s="40">
        <v>1368429.7</v>
      </c>
      <c r="K508" s="21"/>
    </row>
    <row r="509" ht="97.2" hidden="1" spans="1:11">
      <c r="A509" s="21" t="s">
        <v>745</v>
      </c>
      <c r="B509" s="21" t="s">
        <v>784</v>
      </c>
      <c r="C509" s="21" t="s">
        <v>319</v>
      </c>
      <c r="D509" s="21">
        <v>9</v>
      </c>
      <c r="E509" s="21" t="s">
        <v>299</v>
      </c>
      <c r="F509" s="21" t="s">
        <v>300</v>
      </c>
      <c r="G509" s="21" t="s">
        <v>558</v>
      </c>
      <c r="H509" s="40">
        <v>0</v>
      </c>
      <c r="I509" s="40">
        <v>893.55</v>
      </c>
      <c r="J509" s="40">
        <v>1367536.15</v>
      </c>
      <c r="K509" s="21"/>
    </row>
    <row r="510" ht="97.2" hidden="1" spans="1:11">
      <c r="A510" s="21" t="s">
        <v>745</v>
      </c>
      <c r="B510" s="21" t="s">
        <v>784</v>
      </c>
      <c r="C510" s="21" t="s">
        <v>319</v>
      </c>
      <c r="D510" s="21">
        <v>9</v>
      </c>
      <c r="E510" s="21" t="s">
        <v>299</v>
      </c>
      <c r="F510" s="21" t="s">
        <v>300</v>
      </c>
      <c r="G510" s="21" t="s">
        <v>632</v>
      </c>
      <c r="H510" s="40">
        <v>0</v>
      </c>
      <c r="I510" s="40">
        <v>1973.59</v>
      </c>
      <c r="J510" s="40">
        <v>1365562.56</v>
      </c>
      <c r="K510" s="21"/>
    </row>
    <row r="511" ht="97.2" hidden="1" spans="1:11">
      <c r="A511" s="21" t="s">
        <v>745</v>
      </c>
      <c r="B511" s="21" t="s">
        <v>784</v>
      </c>
      <c r="C511" s="21" t="s">
        <v>319</v>
      </c>
      <c r="D511" s="21">
        <v>9</v>
      </c>
      <c r="E511" s="21" t="s">
        <v>299</v>
      </c>
      <c r="F511" s="21" t="s">
        <v>300</v>
      </c>
      <c r="G511" s="21" t="s">
        <v>828</v>
      </c>
      <c r="H511" s="40">
        <v>0</v>
      </c>
      <c r="I511" s="40">
        <v>1719.95</v>
      </c>
      <c r="J511" s="40">
        <v>1363842.61</v>
      </c>
      <c r="K511" s="21"/>
    </row>
    <row r="512" ht="97.2" hidden="1" spans="1:11">
      <c r="A512" s="21" t="s">
        <v>745</v>
      </c>
      <c r="B512" s="21" t="s">
        <v>784</v>
      </c>
      <c r="C512" s="21" t="s">
        <v>319</v>
      </c>
      <c r="D512" s="21">
        <v>9</v>
      </c>
      <c r="E512" s="21" t="s">
        <v>299</v>
      </c>
      <c r="F512" s="21" t="s">
        <v>300</v>
      </c>
      <c r="G512" s="21" t="s">
        <v>829</v>
      </c>
      <c r="H512" s="40">
        <v>0</v>
      </c>
      <c r="I512" s="40">
        <v>1275</v>
      </c>
      <c r="J512" s="40">
        <v>1362567.61</v>
      </c>
      <c r="K512" s="21"/>
    </row>
    <row r="513" ht="97.2" hidden="1" spans="1:11">
      <c r="A513" s="21" t="s">
        <v>745</v>
      </c>
      <c r="B513" s="21" t="s">
        <v>784</v>
      </c>
      <c r="C513" s="21" t="s">
        <v>319</v>
      </c>
      <c r="D513" s="21">
        <v>9</v>
      </c>
      <c r="E513" s="21" t="s">
        <v>299</v>
      </c>
      <c r="F513" s="21" t="s">
        <v>300</v>
      </c>
      <c r="G513" s="21" t="s">
        <v>830</v>
      </c>
      <c r="H513" s="40">
        <v>0</v>
      </c>
      <c r="I513" s="40">
        <v>2400</v>
      </c>
      <c r="J513" s="40">
        <v>1360167.61</v>
      </c>
      <c r="K513" s="21"/>
    </row>
    <row r="514" ht="97.2" hidden="1" spans="1:11">
      <c r="A514" s="21" t="s">
        <v>745</v>
      </c>
      <c r="B514" s="21" t="s">
        <v>784</v>
      </c>
      <c r="C514" s="21" t="s">
        <v>319</v>
      </c>
      <c r="D514" s="21">
        <v>9</v>
      </c>
      <c r="E514" s="21" t="s">
        <v>299</v>
      </c>
      <c r="F514" s="21" t="s">
        <v>300</v>
      </c>
      <c r="G514" s="21" t="s">
        <v>831</v>
      </c>
      <c r="H514" s="40">
        <v>0</v>
      </c>
      <c r="I514" s="40">
        <v>583</v>
      </c>
      <c r="J514" s="40">
        <v>1359584.61</v>
      </c>
      <c r="K514" s="21"/>
    </row>
    <row r="515" ht="97.2" hidden="1" spans="1:11">
      <c r="A515" s="21" t="s">
        <v>745</v>
      </c>
      <c r="B515" s="21" t="s">
        <v>784</v>
      </c>
      <c r="C515" s="21" t="s">
        <v>319</v>
      </c>
      <c r="D515" s="21">
        <v>9</v>
      </c>
      <c r="E515" s="21" t="s">
        <v>299</v>
      </c>
      <c r="F515" s="21" t="s">
        <v>300</v>
      </c>
      <c r="G515" s="21" t="s">
        <v>565</v>
      </c>
      <c r="H515" s="40">
        <v>0</v>
      </c>
      <c r="I515" s="40">
        <v>1123.79</v>
      </c>
      <c r="J515" s="40">
        <v>1358460.82</v>
      </c>
      <c r="K515" s="21"/>
    </row>
    <row r="516" ht="97.2" hidden="1" spans="1:11">
      <c r="A516" s="21" t="s">
        <v>745</v>
      </c>
      <c r="B516" s="21" t="s">
        <v>784</v>
      </c>
      <c r="C516" s="21" t="s">
        <v>319</v>
      </c>
      <c r="D516" s="21">
        <v>9</v>
      </c>
      <c r="E516" s="21" t="s">
        <v>299</v>
      </c>
      <c r="F516" s="21" t="s">
        <v>300</v>
      </c>
      <c r="G516" s="21" t="s">
        <v>566</v>
      </c>
      <c r="H516" s="40">
        <v>0</v>
      </c>
      <c r="I516" s="40">
        <v>786.16</v>
      </c>
      <c r="J516" s="40">
        <v>1357674.66</v>
      </c>
      <c r="K516" s="21"/>
    </row>
    <row r="517" ht="97.2" hidden="1" spans="1:11">
      <c r="A517" s="21" t="s">
        <v>745</v>
      </c>
      <c r="B517" s="21" t="s">
        <v>784</v>
      </c>
      <c r="C517" s="21" t="s">
        <v>319</v>
      </c>
      <c r="D517" s="21">
        <v>9</v>
      </c>
      <c r="E517" s="21" t="s">
        <v>299</v>
      </c>
      <c r="F517" s="21" t="s">
        <v>300</v>
      </c>
      <c r="G517" s="21" t="s">
        <v>567</v>
      </c>
      <c r="H517" s="40">
        <v>0</v>
      </c>
      <c r="I517" s="40">
        <v>500</v>
      </c>
      <c r="J517" s="40">
        <v>1357174.66</v>
      </c>
      <c r="K517" s="21"/>
    </row>
    <row r="518" ht="97.2" hidden="1" spans="1:11">
      <c r="A518" s="21" t="s">
        <v>745</v>
      </c>
      <c r="B518" s="21" t="s">
        <v>784</v>
      </c>
      <c r="C518" s="21" t="s">
        <v>319</v>
      </c>
      <c r="D518" s="21">
        <v>9</v>
      </c>
      <c r="E518" s="21" t="s">
        <v>299</v>
      </c>
      <c r="F518" s="21" t="s">
        <v>300</v>
      </c>
      <c r="G518" s="21" t="s">
        <v>832</v>
      </c>
      <c r="H518" s="40">
        <v>0</v>
      </c>
      <c r="I518" s="40">
        <v>5165.05</v>
      </c>
      <c r="J518" s="40">
        <v>1352009.61</v>
      </c>
      <c r="K518" s="21"/>
    </row>
    <row r="519" ht="97.2" hidden="1" spans="1:11">
      <c r="A519" s="21" t="s">
        <v>745</v>
      </c>
      <c r="B519" s="21" t="s">
        <v>784</v>
      </c>
      <c r="C519" s="21" t="s">
        <v>319</v>
      </c>
      <c r="D519" s="21">
        <v>9</v>
      </c>
      <c r="E519" s="21" t="s">
        <v>299</v>
      </c>
      <c r="F519" s="21" t="s">
        <v>300</v>
      </c>
      <c r="G519" s="21" t="s">
        <v>833</v>
      </c>
      <c r="H519" s="40">
        <v>0</v>
      </c>
      <c r="I519" s="40">
        <v>150</v>
      </c>
      <c r="J519" s="40">
        <v>1351859.61</v>
      </c>
      <c r="K519" s="21"/>
    </row>
    <row r="520" ht="97.2" hidden="1" spans="1:11">
      <c r="A520" s="21" t="s">
        <v>745</v>
      </c>
      <c r="B520" s="21" t="s">
        <v>784</v>
      </c>
      <c r="C520" s="21" t="s">
        <v>319</v>
      </c>
      <c r="D520" s="21">
        <v>9</v>
      </c>
      <c r="E520" s="21" t="s">
        <v>299</v>
      </c>
      <c r="F520" s="21" t="s">
        <v>300</v>
      </c>
      <c r="G520" s="21" t="s">
        <v>834</v>
      </c>
      <c r="H520" s="40">
        <v>0</v>
      </c>
      <c r="I520" s="40">
        <v>1056</v>
      </c>
      <c r="J520" s="40">
        <v>1350803.61</v>
      </c>
      <c r="K520" s="21"/>
    </row>
    <row r="521" ht="97.2" hidden="1" spans="1:11">
      <c r="A521" s="21" t="s">
        <v>745</v>
      </c>
      <c r="B521" s="21" t="s">
        <v>784</v>
      </c>
      <c r="C521" s="21" t="s">
        <v>319</v>
      </c>
      <c r="D521" s="21">
        <v>9</v>
      </c>
      <c r="E521" s="21" t="s">
        <v>299</v>
      </c>
      <c r="F521" s="21" t="s">
        <v>300</v>
      </c>
      <c r="G521" s="21" t="s">
        <v>835</v>
      </c>
      <c r="H521" s="40">
        <v>0</v>
      </c>
      <c r="I521" s="40">
        <v>93.75</v>
      </c>
      <c r="J521" s="40">
        <v>1350709.86</v>
      </c>
      <c r="K521" s="21"/>
    </row>
    <row r="522" ht="97.2" hidden="1" spans="1:11">
      <c r="A522" s="21" t="s">
        <v>745</v>
      </c>
      <c r="B522" s="21" t="s">
        <v>784</v>
      </c>
      <c r="C522" s="21" t="s">
        <v>319</v>
      </c>
      <c r="D522" s="21">
        <v>9</v>
      </c>
      <c r="E522" s="21" t="s">
        <v>299</v>
      </c>
      <c r="F522" s="21" t="s">
        <v>300</v>
      </c>
      <c r="G522" s="21" t="s">
        <v>836</v>
      </c>
      <c r="H522" s="40">
        <v>0</v>
      </c>
      <c r="I522" s="40">
        <v>1336.48</v>
      </c>
      <c r="J522" s="40">
        <v>1349373.38</v>
      </c>
      <c r="K522" s="21"/>
    </row>
    <row r="523" ht="97.2" hidden="1" spans="1:11">
      <c r="A523" s="21" t="s">
        <v>745</v>
      </c>
      <c r="B523" s="21" t="s">
        <v>784</v>
      </c>
      <c r="C523" s="21" t="s">
        <v>319</v>
      </c>
      <c r="D523" s="21">
        <v>9</v>
      </c>
      <c r="E523" s="21" t="s">
        <v>299</v>
      </c>
      <c r="F523" s="21" t="s">
        <v>300</v>
      </c>
      <c r="G523" s="21" t="s">
        <v>837</v>
      </c>
      <c r="H523" s="40">
        <v>0</v>
      </c>
      <c r="I523" s="40">
        <v>679.2</v>
      </c>
      <c r="J523" s="40">
        <v>1348694.18</v>
      </c>
      <c r="K523" s="21"/>
    </row>
    <row r="524" ht="97.2" hidden="1" spans="1:11">
      <c r="A524" s="21" t="s">
        <v>745</v>
      </c>
      <c r="B524" s="21" t="s">
        <v>784</v>
      </c>
      <c r="C524" s="21" t="s">
        <v>319</v>
      </c>
      <c r="D524" s="21">
        <v>9</v>
      </c>
      <c r="E524" s="21" t="s">
        <v>299</v>
      </c>
      <c r="F524" s="21" t="s">
        <v>300</v>
      </c>
      <c r="G524" s="21" t="s">
        <v>838</v>
      </c>
      <c r="H524" s="40">
        <v>0</v>
      </c>
      <c r="I524" s="40">
        <v>1285.74</v>
      </c>
      <c r="J524" s="40">
        <v>1347408.44</v>
      </c>
      <c r="K524" s="21"/>
    </row>
    <row r="525" ht="97.2" hidden="1" spans="1:11">
      <c r="A525" s="21" t="s">
        <v>745</v>
      </c>
      <c r="B525" s="21" t="s">
        <v>784</v>
      </c>
      <c r="C525" s="21" t="s">
        <v>319</v>
      </c>
      <c r="D525" s="21">
        <v>9</v>
      </c>
      <c r="E525" s="21" t="s">
        <v>299</v>
      </c>
      <c r="F525" s="21" t="s">
        <v>300</v>
      </c>
      <c r="G525" s="21" t="s">
        <v>839</v>
      </c>
      <c r="H525" s="40">
        <v>0</v>
      </c>
      <c r="I525" s="40">
        <v>633.34</v>
      </c>
      <c r="J525" s="40">
        <v>1346775.1</v>
      </c>
      <c r="K525" s="21"/>
    </row>
    <row r="526" ht="97.2" hidden="1" spans="1:11">
      <c r="A526" s="21" t="s">
        <v>745</v>
      </c>
      <c r="B526" s="21" t="s">
        <v>784</v>
      </c>
      <c r="C526" s="21" t="s">
        <v>319</v>
      </c>
      <c r="D526" s="21">
        <v>9</v>
      </c>
      <c r="E526" s="21" t="s">
        <v>299</v>
      </c>
      <c r="F526" s="21" t="s">
        <v>300</v>
      </c>
      <c r="G526" s="21" t="s">
        <v>840</v>
      </c>
      <c r="H526" s="40">
        <v>0</v>
      </c>
      <c r="I526" s="40">
        <v>188.68</v>
      </c>
      <c r="J526" s="40">
        <v>1346586.42</v>
      </c>
      <c r="K526" s="21"/>
    </row>
    <row r="527" ht="97.2" hidden="1" spans="1:11">
      <c r="A527" s="21" t="s">
        <v>745</v>
      </c>
      <c r="B527" s="21" t="s">
        <v>784</v>
      </c>
      <c r="C527" s="21" t="s">
        <v>319</v>
      </c>
      <c r="D527" s="21">
        <v>9</v>
      </c>
      <c r="E527" s="21" t="s">
        <v>299</v>
      </c>
      <c r="F527" s="21" t="s">
        <v>300</v>
      </c>
      <c r="G527" s="21" t="s">
        <v>841</v>
      </c>
      <c r="H527" s="40">
        <v>0</v>
      </c>
      <c r="I527" s="40">
        <v>585.71</v>
      </c>
      <c r="J527" s="40">
        <v>1346000.71</v>
      </c>
      <c r="K527" s="21"/>
    </row>
    <row r="528" ht="97.2" hidden="1" spans="1:11">
      <c r="A528" s="21" t="s">
        <v>745</v>
      </c>
      <c r="B528" s="21" t="s">
        <v>784</v>
      </c>
      <c r="C528" s="21" t="s">
        <v>319</v>
      </c>
      <c r="D528" s="21">
        <v>9</v>
      </c>
      <c r="E528" s="21" t="s">
        <v>299</v>
      </c>
      <c r="F528" s="21" t="s">
        <v>300</v>
      </c>
      <c r="G528" s="21" t="s">
        <v>842</v>
      </c>
      <c r="H528" s="40">
        <v>0</v>
      </c>
      <c r="I528" s="40">
        <v>317.14</v>
      </c>
      <c r="J528" s="40">
        <v>1345683.57</v>
      </c>
      <c r="K528" s="21"/>
    </row>
    <row r="529" ht="97.2" hidden="1" spans="1:11">
      <c r="A529" s="21" t="s">
        <v>745</v>
      </c>
      <c r="B529" s="21" t="s">
        <v>784</v>
      </c>
      <c r="C529" s="21" t="s">
        <v>319</v>
      </c>
      <c r="D529" s="21">
        <v>9</v>
      </c>
      <c r="E529" s="21" t="s">
        <v>299</v>
      </c>
      <c r="F529" s="21" t="s">
        <v>300</v>
      </c>
      <c r="G529" s="21" t="s">
        <v>843</v>
      </c>
      <c r="H529" s="40">
        <v>0</v>
      </c>
      <c r="I529" s="40">
        <v>4966.04</v>
      </c>
      <c r="J529" s="40">
        <v>1340717.53</v>
      </c>
      <c r="K529" s="21"/>
    </row>
    <row r="530" ht="97.2" hidden="1" spans="1:11">
      <c r="A530" s="21" t="s">
        <v>745</v>
      </c>
      <c r="B530" s="21" t="s">
        <v>784</v>
      </c>
      <c r="C530" s="21" t="s">
        <v>319</v>
      </c>
      <c r="D530" s="21">
        <v>9</v>
      </c>
      <c r="E530" s="21" t="s">
        <v>299</v>
      </c>
      <c r="F530" s="21" t="s">
        <v>300</v>
      </c>
      <c r="G530" s="21" t="s">
        <v>844</v>
      </c>
      <c r="H530" s="40">
        <v>0</v>
      </c>
      <c r="I530" s="40">
        <v>380</v>
      </c>
      <c r="J530" s="40">
        <v>1340337.53</v>
      </c>
      <c r="K530" s="21"/>
    </row>
    <row r="531" ht="97.2" hidden="1" spans="1:11">
      <c r="A531" s="21" t="s">
        <v>745</v>
      </c>
      <c r="B531" s="21" t="s">
        <v>784</v>
      </c>
      <c r="C531" s="21" t="s">
        <v>319</v>
      </c>
      <c r="D531" s="21">
        <v>9</v>
      </c>
      <c r="E531" s="21" t="s">
        <v>299</v>
      </c>
      <c r="F531" s="21" t="s">
        <v>300</v>
      </c>
      <c r="G531" s="21" t="s">
        <v>845</v>
      </c>
      <c r="H531" s="40">
        <v>0</v>
      </c>
      <c r="I531" s="40">
        <v>487.54</v>
      </c>
      <c r="J531" s="40">
        <v>1339849.99</v>
      </c>
      <c r="K531" s="21"/>
    </row>
    <row r="532" ht="97.2" hidden="1" spans="1:11">
      <c r="A532" s="21" t="s">
        <v>745</v>
      </c>
      <c r="B532" s="21" t="s">
        <v>784</v>
      </c>
      <c r="C532" s="21" t="s">
        <v>319</v>
      </c>
      <c r="D532" s="21">
        <v>9</v>
      </c>
      <c r="E532" s="21" t="s">
        <v>299</v>
      </c>
      <c r="F532" s="21" t="s">
        <v>300</v>
      </c>
      <c r="G532" s="21" t="s">
        <v>846</v>
      </c>
      <c r="H532" s="40">
        <v>0</v>
      </c>
      <c r="I532" s="40">
        <v>254.29</v>
      </c>
      <c r="J532" s="40">
        <v>1339595.7</v>
      </c>
      <c r="K532" s="21"/>
    </row>
    <row r="533" ht="97.2" hidden="1" spans="1:11">
      <c r="A533" s="21" t="s">
        <v>745</v>
      </c>
      <c r="B533" s="21" t="s">
        <v>784</v>
      </c>
      <c r="C533" s="21" t="s">
        <v>319</v>
      </c>
      <c r="D533" s="21">
        <v>9</v>
      </c>
      <c r="E533" s="21" t="s">
        <v>299</v>
      </c>
      <c r="F533" s="21" t="s">
        <v>300</v>
      </c>
      <c r="G533" s="21" t="s">
        <v>847</v>
      </c>
      <c r="H533" s="40">
        <v>0</v>
      </c>
      <c r="I533" s="40">
        <v>716.43</v>
      </c>
      <c r="J533" s="40">
        <v>1338879.27</v>
      </c>
      <c r="K533" s="21"/>
    </row>
    <row r="534" ht="97.2" hidden="1" spans="1:11">
      <c r="A534" s="21" t="s">
        <v>745</v>
      </c>
      <c r="B534" s="21" t="s">
        <v>784</v>
      </c>
      <c r="C534" s="21" t="s">
        <v>319</v>
      </c>
      <c r="D534" s="21">
        <v>9</v>
      </c>
      <c r="E534" s="21" t="s">
        <v>299</v>
      </c>
      <c r="F534" s="21" t="s">
        <v>300</v>
      </c>
      <c r="G534" s="21" t="s">
        <v>848</v>
      </c>
      <c r="H534" s="40">
        <v>0</v>
      </c>
      <c r="I534" s="40">
        <v>323.14</v>
      </c>
      <c r="J534" s="40">
        <v>1338556.13</v>
      </c>
      <c r="K534" s="21"/>
    </row>
    <row r="535" ht="97.2" hidden="1" spans="1:11">
      <c r="A535" s="21" t="s">
        <v>745</v>
      </c>
      <c r="B535" s="21" t="s">
        <v>784</v>
      </c>
      <c r="C535" s="21" t="s">
        <v>319</v>
      </c>
      <c r="D535" s="21">
        <v>9</v>
      </c>
      <c r="E535" s="21" t="s">
        <v>299</v>
      </c>
      <c r="F535" s="21" t="s">
        <v>300</v>
      </c>
      <c r="G535" s="21" t="s">
        <v>849</v>
      </c>
      <c r="H535" s="40">
        <v>0</v>
      </c>
      <c r="I535" s="40">
        <v>250</v>
      </c>
      <c r="J535" s="40">
        <v>1338306.13</v>
      </c>
      <c r="K535" s="21"/>
    </row>
    <row r="536" ht="97.2" hidden="1" spans="1:11">
      <c r="A536" s="21" t="s">
        <v>745</v>
      </c>
      <c r="B536" s="21" t="s">
        <v>784</v>
      </c>
      <c r="C536" s="21" t="s">
        <v>319</v>
      </c>
      <c r="D536" s="21">
        <v>9</v>
      </c>
      <c r="E536" s="21" t="s">
        <v>299</v>
      </c>
      <c r="F536" s="21" t="s">
        <v>300</v>
      </c>
      <c r="G536" s="21" t="s">
        <v>850</v>
      </c>
      <c r="H536" s="40">
        <v>0</v>
      </c>
      <c r="I536" s="40">
        <v>433.33</v>
      </c>
      <c r="J536" s="40">
        <v>1337872.8</v>
      </c>
      <c r="K536" s="21"/>
    </row>
    <row r="537" ht="97.2" hidden="1" spans="1:11">
      <c r="A537" s="21" t="s">
        <v>745</v>
      </c>
      <c r="B537" s="21" t="s">
        <v>784</v>
      </c>
      <c r="C537" s="21" t="s">
        <v>319</v>
      </c>
      <c r="D537" s="21">
        <v>9</v>
      </c>
      <c r="E537" s="21" t="s">
        <v>299</v>
      </c>
      <c r="F537" s="21" t="s">
        <v>300</v>
      </c>
      <c r="G537" s="21" t="s">
        <v>851</v>
      </c>
      <c r="H537" s="40">
        <v>0</v>
      </c>
      <c r="I537" s="40">
        <v>2940</v>
      </c>
      <c r="J537" s="40">
        <v>1334932.8</v>
      </c>
      <c r="K537" s="21"/>
    </row>
    <row r="538" ht="97.2" hidden="1" spans="1:11">
      <c r="A538" s="21" t="s">
        <v>745</v>
      </c>
      <c r="B538" s="21" t="s">
        <v>784</v>
      </c>
      <c r="C538" s="21" t="s">
        <v>319</v>
      </c>
      <c r="D538" s="21">
        <v>9</v>
      </c>
      <c r="E538" s="21" t="s">
        <v>299</v>
      </c>
      <c r="F538" s="21" t="s">
        <v>300</v>
      </c>
      <c r="G538" s="21" t="s">
        <v>852</v>
      </c>
      <c r="H538" s="40">
        <v>0</v>
      </c>
      <c r="I538" s="40">
        <v>2357.14</v>
      </c>
      <c r="J538" s="40">
        <v>1332575.66</v>
      </c>
      <c r="K538" s="21"/>
    </row>
    <row r="539" ht="97.2" hidden="1" spans="1:11">
      <c r="A539" s="21" t="s">
        <v>745</v>
      </c>
      <c r="B539" s="21" t="s">
        <v>784</v>
      </c>
      <c r="C539" s="21" t="s">
        <v>319</v>
      </c>
      <c r="D539" s="21">
        <v>9</v>
      </c>
      <c r="E539" s="21" t="s">
        <v>299</v>
      </c>
      <c r="F539" s="21" t="s">
        <v>300</v>
      </c>
      <c r="G539" s="21" t="s">
        <v>853</v>
      </c>
      <c r="H539" s="40">
        <v>0</v>
      </c>
      <c r="I539" s="40">
        <v>3810</v>
      </c>
      <c r="J539" s="40">
        <v>1328765.66</v>
      </c>
      <c r="K539" s="21"/>
    </row>
    <row r="540" ht="97.2" hidden="1" spans="1:11">
      <c r="A540" s="21" t="s">
        <v>745</v>
      </c>
      <c r="B540" s="21" t="s">
        <v>784</v>
      </c>
      <c r="C540" s="21" t="s">
        <v>319</v>
      </c>
      <c r="D540" s="21">
        <v>9</v>
      </c>
      <c r="E540" s="21" t="s">
        <v>299</v>
      </c>
      <c r="F540" s="21" t="s">
        <v>300</v>
      </c>
      <c r="G540" s="21" t="s">
        <v>854</v>
      </c>
      <c r="H540" s="40">
        <v>0</v>
      </c>
      <c r="I540" s="40">
        <v>3706.67</v>
      </c>
      <c r="J540" s="40">
        <v>1325058.99</v>
      </c>
      <c r="K540" s="21"/>
    </row>
    <row r="541" ht="97.2" hidden="1" spans="1:11">
      <c r="A541" s="21" t="s">
        <v>745</v>
      </c>
      <c r="B541" s="21" t="s">
        <v>784</v>
      </c>
      <c r="C541" s="21" t="s">
        <v>319</v>
      </c>
      <c r="D541" s="21">
        <v>9</v>
      </c>
      <c r="E541" s="21" t="s">
        <v>299</v>
      </c>
      <c r="F541" s="21" t="s">
        <v>300</v>
      </c>
      <c r="G541" s="21" t="s">
        <v>855</v>
      </c>
      <c r="H541" s="40">
        <v>0</v>
      </c>
      <c r="I541" s="40">
        <v>4271.87</v>
      </c>
      <c r="J541" s="40">
        <v>1320787.12</v>
      </c>
      <c r="K541" s="21"/>
    </row>
    <row r="542" ht="97.2" hidden="1" spans="1:11">
      <c r="A542" s="21" t="s">
        <v>745</v>
      </c>
      <c r="B542" s="21" t="s">
        <v>784</v>
      </c>
      <c r="C542" s="21" t="s">
        <v>319</v>
      </c>
      <c r="D542" s="21">
        <v>9</v>
      </c>
      <c r="E542" s="21" t="s">
        <v>299</v>
      </c>
      <c r="F542" s="21" t="s">
        <v>300</v>
      </c>
      <c r="G542" s="21" t="s">
        <v>856</v>
      </c>
      <c r="H542" s="40">
        <v>0</v>
      </c>
      <c r="I542" s="40">
        <v>3631.64</v>
      </c>
      <c r="J542" s="40">
        <v>1317155.48</v>
      </c>
      <c r="K542" s="21"/>
    </row>
    <row r="543" ht="97.2" hidden="1" spans="1:11">
      <c r="A543" s="21" t="s">
        <v>745</v>
      </c>
      <c r="B543" s="21" t="s">
        <v>784</v>
      </c>
      <c r="C543" s="21" t="s">
        <v>319</v>
      </c>
      <c r="D543" s="21">
        <v>9</v>
      </c>
      <c r="E543" s="21" t="s">
        <v>299</v>
      </c>
      <c r="F543" s="21" t="s">
        <v>300</v>
      </c>
      <c r="G543" s="21" t="s">
        <v>857</v>
      </c>
      <c r="H543" s="40">
        <v>0</v>
      </c>
      <c r="I543" s="40">
        <v>2842.34</v>
      </c>
      <c r="J543" s="40">
        <v>1314313.14</v>
      </c>
      <c r="K543" s="21"/>
    </row>
    <row r="544" ht="97.2" hidden="1" spans="1:11">
      <c r="A544" s="21" t="s">
        <v>745</v>
      </c>
      <c r="B544" s="21" t="s">
        <v>784</v>
      </c>
      <c r="C544" s="21" t="s">
        <v>319</v>
      </c>
      <c r="D544" s="21">
        <v>9</v>
      </c>
      <c r="E544" s="21" t="s">
        <v>299</v>
      </c>
      <c r="F544" s="21" t="s">
        <v>300</v>
      </c>
      <c r="G544" s="21" t="s">
        <v>858</v>
      </c>
      <c r="H544" s="40">
        <v>0</v>
      </c>
      <c r="I544" s="40">
        <v>20284.22</v>
      </c>
      <c r="J544" s="40">
        <v>1294028.92</v>
      </c>
      <c r="K544" s="21"/>
    </row>
    <row r="545" ht="97.2" hidden="1" spans="1:11">
      <c r="A545" s="21" t="s">
        <v>745</v>
      </c>
      <c r="B545" s="21" t="s">
        <v>784</v>
      </c>
      <c r="C545" s="21" t="s">
        <v>319</v>
      </c>
      <c r="D545" s="21">
        <v>9</v>
      </c>
      <c r="E545" s="21" t="s">
        <v>299</v>
      </c>
      <c r="F545" s="21" t="s">
        <v>300</v>
      </c>
      <c r="G545" s="21" t="s">
        <v>859</v>
      </c>
      <c r="H545" s="40">
        <v>0</v>
      </c>
      <c r="I545" s="40">
        <v>1640</v>
      </c>
      <c r="J545" s="40">
        <v>1292388.92</v>
      </c>
      <c r="K545" s="21"/>
    </row>
    <row r="546" ht="97.2" hidden="1" spans="1:11">
      <c r="A546" s="21" t="s">
        <v>745</v>
      </c>
      <c r="B546" s="21" t="s">
        <v>784</v>
      </c>
      <c r="C546" s="21" t="s">
        <v>319</v>
      </c>
      <c r="D546" s="21">
        <v>9</v>
      </c>
      <c r="E546" s="21" t="s">
        <v>299</v>
      </c>
      <c r="F546" s="21" t="s">
        <v>300</v>
      </c>
      <c r="G546" s="21" t="s">
        <v>860</v>
      </c>
      <c r="H546" s="40">
        <v>0</v>
      </c>
      <c r="I546" s="40">
        <v>3091.2</v>
      </c>
      <c r="J546" s="40">
        <v>1289297.72</v>
      </c>
      <c r="K546" s="21"/>
    </row>
    <row r="547" ht="97.2" hidden="1" spans="1:11">
      <c r="A547" s="21" t="s">
        <v>745</v>
      </c>
      <c r="B547" s="21" t="s">
        <v>784</v>
      </c>
      <c r="C547" s="21" t="s">
        <v>319</v>
      </c>
      <c r="D547" s="21">
        <v>9</v>
      </c>
      <c r="E547" s="21" t="s">
        <v>299</v>
      </c>
      <c r="F547" s="21" t="s">
        <v>300</v>
      </c>
      <c r="G547" s="21" t="s">
        <v>861</v>
      </c>
      <c r="H547" s="40">
        <v>0</v>
      </c>
      <c r="I547" s="40">
        <v>582.52</v>
      </c>
      <c r="J547" s="40">
        <v>1288715.2</v>
      </c>
      <c r="K547" s="21"/>
    </row>
    <row r="548" ht="97.2" hidden="1" spans="1:11">
      <c r="A548" s="21" t="s">
        <v>745</v>
      </c>
      <c r="B548" s="21" t="s">
        <v>784</v>
      </c>
      <c r="C548" s="21" t="s">
        <v>319</v>
      </c>
      <c r="D548" s="21">
        <v>9</v>
      </c>
      <c r="E548" s="21" t="s">
        <v>299</v>
      </c>
      <c r="F548" s="21" t="s">
        <v>300</v>
      </c>
      <c r="G548" s="21" t="s">
        <v>862</v>
      </c>
      <c r="H548" s="40">
        <v>0</v>
      </c>
      <c r="I548" s="40">
        <v>102.24</v>
      </c>
      <c r="J548" s="40">
        <v>1288612.96</v>
      </c>
      <c r="K548" s="21"/>
    </row>
    <row r="549" ht="97.2" hidden="1" spans="1:11">
      <c r="A549" s="21" t="s">
        <v>745</v>
      </c>
      <c r="B549" s="21" t="s">
        <v>784</v>
      </c>
      <c r="C549" s="21" t="s">
        <v>319</v>
      </c>
      <c r="D549" s="21">
        <v>9</v>
      </c>
      <c r="E549" s="21" t="s">
        <v>299</v>
      </c>
      <c r="F549" s="21" t="s">
        <v>300</v>
      </c>
      <c r="G549" s="21" t="s">
        <v>863</v>
      </c>
      <c r="H549" s="40">
        <v>0</v>
      </c>
      <c r="I549" s="40">
        <v>167.52</v>
      </c>
      <c r="J549" s="40">
        <v>1288445.44</v>
      </c>
      <c r="K549" s="21"/>
    </row>
    <row r="550" ht="97.2" hidden="1" spans="1:11">
      <c r="A550" s="21" t="s">
        <v>745</v>
      </c>
      <c r="B550" s="21" t="s">
        <v>784</v>
      </c>
      <c r="C550" s="21" t="s">
        <v>319</v>
      </c>
      <c r="D550" s="21">
        <v>9</v>
      </c>
      <c r="E550" s="21" t="s">
        <v>299</v>
      </c>
      <c r="F550" s="21" t="s">
        <v>300</v>
      </c>
      <c r="G550" s="21" t="s">
        <v>864</v>
      </c>
      <c r="H550" s="40">
        <v>0</v>
      </c>
      <c r="I550" s="40">
        <v>403.44</v>
      </c>
      <c r="J550" s="40">
        <v>1288042</v>
      </c>
      <c r="K550" s="21"/>
    </row>
    <row r="551" ht="97.2" hidden="1" spans="1:11">
      <c r="A551" s="21" t="s">
        <v>745</v>
      </c>
      <c r="B551" s="21" t="s">
        <v>784</v>
      </c>
      <c r="C551" s="21" t="s">
        <v>319</v>
      </c>
      <c r="D551" s="21">
        <v>9</v>
      </c>
      <c r="E551" s="21" t="s">
        <v>299</v>
      </c>
      <c r="F551" s="21" t="s">
        <v>300</v>
      </c>
      <c r="G551" s="21" t="s">
        <v>865</v>
      </c>
      <c r="H551" s="40">
        <v>0</v>
      </c>
      <c r="I551" s="40">
        <v>509.4</v>
      </c>
      <c r="J551" s="40">
        <v>1287532.6</v>
      </c>
      <c r="K551" s="21"/>
    </row>
    <row r="552" ht="97.2" hidden="1" spans="1:11">
      <c r="A552" s="21" t="s">
        <v>745</v>
      </c>
      <c r="B552" s="21" t="s">
        <v>784</v>
      </c>
      <c r="C552" s="21" t="s">
        <v>319</v>
      </c>
      <c r="D552" s="21">
        <v>9</v>
      </c>
      <c r="E552" s="21" t="s">
        <v>299</v>
      </c>
      <c r="F552" s="21" t="s">
        <v>300</v>
      </c>
      <c r="G552" s="21" t="s">
        <v>866</v>
      </c>
      <c r="H552" s="40">
        <v>0</v>
      </c>
      <c r="I552" s="40">
        <v>340.18</v>
      </c>
      <c r="J552" s="40">
        <v>1287192.42</v>
      </c>
      <c r="K552" s="21"/>
    </row>
    <row r="553" ht="97.2" hidden="1" spans="1:11">
      <c r="A553" s="21" t="s">
        <v>745</v>
      </c>
      <c r="B553" s="21" t="s">
        <v>784</v>
      </c>
      <c r="C553" s="21" t="s">
        <v>319</v>
      </c>
      <c r="D553" s="21">
        <v>9</v>
      </c>
      <c r="E553" s="21" t="s">
        <v>299</v>
      </c>
      <c r="F553" s="21" t="s">
        <v>300</v>
      </c>
      <c r="G553" s="21" t="s">
        <v>867</v>
      </c>
      <c r="H553" s="40">
        <v>0</v>
      </c>
      <c r="I553" s="40">
        <v>28.38</v>
      </c>
      <c r="J553" s="40">
        <v>1287164.04</v>
      </c>
      <c r="K553" s="21"/>
    </row>
    <row r="554" ht="97.2" hidden="1" spans="1:11">
      <c r="A554" s="21" t="s">
        <v>745</v>
      </c>
      <c r="B554" s="21" t="s">
        <v>784</v>
      </c>
      <c r="C554" s="21" t="s">
        <v>319</v>
      </c>
      <c r="D554" s="21">
        <v>9</v>
      </c>
      <c r="E554" s="21" t="s">
        <v>299</v>
      </c>
      <c r="F554" s="21" t="s">
        <v>300</v>
      </c>
      <c r="G554" s="21" t="s">
        <v>868</v>
      </c>
      <c r="H554" s="40">
        <v>0</v>
      </c>
      <c r="I554" s="40">
        <v>22.68</v>
      </c>
      <c r="J554" s="40">
        <v>1287141.36</v>
      </c>
      <c r="K554" s="21"/>
    </row>
    <row r="555" ht="97.2" hidden="1" spans="1:11">
      <c r="A555" s="21" t="s">
        <v>745</v>
      </c>
      <c r="B555" s="21" t="s">
        <v>784</v>
      </c>
      <c r="C555" s="21" t="s">
        <v>319</v>
      </c>
      <c r="D555" s="21">
        <v>9</v>
      </c>
      <c r="E555" s="21" t="s">
        <v>299</v>
      </c>
      <c r="F555" s="21" t="s">
        <v>300</v>
      </c>
      <c r="G555" s="21" t="s">
        <v>869</v>
      </c>
      <c r="H555" s="40">
        <v>0</v>
      </c>
      <c r="I555" s="40">
        <v>16.92</v>
      </c>
      <c r="J555" s="40">
        <v>1287124.44</v>
      </c>
      <c r="K555" s="21"/>
    </row>
    <row r="556" ht="97.2" hidden="1" spans="1:11">
      <c r="A556" s="21" t="s">
        <v>745</v>
      </c>
      <c r="B556" s="21" t="s">
        <v>784</v>
      </c>
      <c r="C556" s="21" t="s">
        <v>319</v>
      </c>
      <c r="D556" s="21">
        <v>9</v>
      </c>
      <c r="E556" s="21" t="s">
        <v>299</v>
      </c>
      <c r="F556" s="21" t="s">
        <v>300</v>
      </c>
      <c r="G556" s="21" t="s">
        <v>870</v>
      </c>
      <c r="H556" s="40">
        <v>0</v>
      </c>
      <c r="I556" s="40">
        <v>135.04</v>
      </c>
      <c r="J556" s="40">
        <v>1286989.4</v>
      </c>
      <c r="K556" s="21"/>
    </row>
    <row r="557" ht="97.2" hidden="1" spans="1:11">
      <c r="A557" s="21" t="s">
        <v>745</v>
      </c>
      <c r="B557" s="21" t="s">
        <v>784</v>
      </c>
      <c r="C557" s="21" t="s">
        <v>319</v>
      </c>
      <c r="D557" s="21">
        <v>9</v>
      </c>
      <c r="E557" s="21" t="s">
        <v>299</v>
      </c>
      <c r="F557" s="21" t="s">
        <v>300</v>
      </c>
      <c r="G557" s="21" t="s">
        <v>871</v>
      </c>
      <c r="H557" s="40">
        <v>0</v>
      </c>
      <c r="I557" s="40">
        <v>73.5</v>
      </c>
      <c r="J557" s="40">
        <v>1286915.9</v>
      </c>
      <c r="K557" s="21"/>
    </row>
    <row r="558" ht="97.2" hidden="1" spans="1:11">
      <c r="A558" s="21" t="s">
        <v>745</v>
      </c>
      <c r="B558" s="21" t="s">
        <v>784</v>
      </c>
      <c r="C558" s="21" t="s">
        <v>319</v>
      </c>
      <c r="D558" s="21">
        <v>9</v>
      </c>
      <c r="E558" s="21" t="s">
        <v>299</v>
      </c>
      <c r="F558" s="21" t="s">
        <v>300</v>
      </c>
      <c r="G558" s="21" t="s">
        <v>872</v>
      </c>
      <c r="H558" s="40">
        <v>0</v>
      </c>
      <c r="I558" s="40">
        <v>67.24</v>
      </c>
      <c r="J558" s="40">
        <v>1286848.66</v>
      </c>
      <c r="K558" s="21"/>
    </row>
    <row r="559" ht="97.2" hidden="1" spans="1:11">
      <c r="A559" s="21" t="s">
        <v>745</v>
      </c>
      <c r="B559" s="21" t="s">
        <v>784</v>
      </c>
      <c r="C559" s="21" t="s">
        <v>319</v>
      </c>
      <c r="D559" s="21">
        <v>9</v>
      </c>
      <c r="E559" s="21" t="s">
        <v>299</v>
      </c>
      <c r="F559" s="21" t="s">
        <v>300</v>
      </c>
      <c r="G559" s="21" t="s">
        <v>873</v>
      </c>
      <c r="H559" s="40">
        <v>0</v>
      </c>
      <c r="I559" s="40">
        <v>2712</v>
      </c>
      <c r="J559" s="40">
        <v>1284136.66</v>
      </c>
      <c r="K559" s="21"/>
    </row>
    <row r="560" ht="97.2" hidden="1" spans="1:11">
      <c r="A560" s="21" t="s">
        <v>745</v>
      </c>
      <c r="B560" s="21" t="s">
        <v>784</v>
      </c>
      <c r="C560" s="21" t="s">
        <v>319</v>
      </c>
      <c r="D560" s="21">
        <v>9</v>
      </c>
      <c r="E560" s="21" t="s">
        <v>299</v>
      </c>
      <c r="F560" s="21" t="s">
        <v>300</v>
      </c>
      <c r="G560" s="21" t="s">
        <v>874</v>
      </c>
      <c r="H560" s="40">
        <v>0</v>
      </c>
      <c r="I560" s="40">
        <v>500</v>
      </c>
      <c r="J560" s="40">
        <v>1283636.66</v>
      </c>
      <c r="K560" s="21"/>
    </row>
    <row r="561" ht="97.2" hidden="1" spans="1:11">
      <c r="A561" s="21" t="s">
        <v>745</v>
      </c>
      <c r="B561" s="21" t="s">
        <v>784</v>
      </c>
      <c r="C561" s="21" t="s">
        <v>319</v>
      </c>
      <c r="D561" s="21">
        <v>9</v>
      </c>
      <c r="E561" s="21" t="s">
        <v>299</v>
      </c>
      <c r="F561" s="21" t="s">
        <v>300</v>
      </c>
      <c r="G561" s="21" t="s">
        <v>875</v>
      </c>
      <c r="H561" s="40">
        <v>0</v>
      </c>
      <c r="I561" s="40">
        <v>250</v>
      </c>
      <c r="J561" s="40">
        <v>1283386.66</v>
      </c>
      <c r="K561" s="21"/>
    </row>
    <row r="562" ht="97.2" hidden="1" spans="1:11">
      <c r="A562" s="21" t="s">
        <v>745</v>
      </c>
      <c r="B562" s="21" t="s">
        <v>784</v>
      </c>
      <c r="C562" s="21" t="s">
        <v>319</v>
      </c>
      <c r="D562" s="21">
        <v>9</v>
      </c>
      <c r="E562" s="21" t="s">
        <v>299</v>
      </c>
      <c r="F562" s="21" t="s">
        <v>300</v>
      </c>
      <c r="G562" s="21" t="s">
        <v>876</v>
      </c>
      <c r="H562" s="40">
        <v>0</v>
      </c>
      <c r="I562" s="40">
        <v>1401.7</v>
      </c>
      <c r="J562" s="40">
        <v>1281984.96</v>
      </c>
      <c r="K562" s="21"/>
    </row>
    <row r="563" ht="97.2" hidden="1" spans="1:11">
      <c r="A563" s="21" t="s">
        <v>745</v>
      </c>
      <c r="B563" s="21" t="s">
        <v>784</v>
      </c>
      <c r="C563" s="21" t="s">
        <v>319</v>
      </c>
      <c r="D563" s="21">
        <v>9</v>
      </c>
      <c r="E563" s="21" t="s">
        <v>299</v>
      </c>
      <c r="F563" s="21" t="s">
        <v>300</v>
      </c>
      <c r="G563" s="21" t="s">
        <v>877</v>
      </c>
      <c r="H563" s="40">
        <v>0</v>
      </c>
      <c r="I563" s="40">
        <v>2927.6</v>
      </c>
      <c r="J563" s="40">
        <v>1279057.36</v>
      </c>
      <c r="K563" s="21"/>
    </row>
    <row r="564" ht="97.2" hidden="1" spans="1:11">
      <c r="A564" s="21" t="s">
        <v>745</v>
      </c>
      <c r="B564" s="21" t="s">
        <v>784</v>
      </c>
      <c r="C564" s="21" t="s">
        <v>319</v>
      </c>
      <c r="D564" s="21">
        <v>9</v>
      </c>
      <c r="E564" s="21" t="s">
        <v>299</v>
      </c>
      <c r="F564" s="21" t="s">
        <v>300</v>
      </c>
      <c r="G564" s="21" t="s">
        <v>878</v>
      </c>
      <c r="H564" s="40">
        <v>0</v>
      </c>
      <c r="I564" s="40">
        <v>10976.88</v>
      </c>
      <c r="J564" s="40">
        <v>1268080.48</v>
      </c>
      <c r="K564" s="21"/>
    </row>
    <row r="565" ht="97.2" hidden="1" spans="1:11">
      <c r="A565" s="21" t="s">
        <v>745</v>
      </c>
      <c r="B565" s="21" t="s">
        <v>784</v>
      </c>
      <c r="C565" s="21" t="s">
        <v>319</v>
      </c>
      <c r="D565" s="21">
        <v>9</v>
      </c>
      <c r="E565" s="21" t="s">
        <v>299</v>
      </c>
      <c r="F565" s="21" t="s">
        <v>300</v>
      </c>
      <c r="G565" s="21" t="s">
        <v>879</v>
      </c>
      <c r="H565" s="40">
        <v>0</v>
      </c>
      <c r="I565" s="40">
        <v>2927.6</v>
      </c>
      <c r="J565" s="40">
        <v>1265152.88</v>
      </c>
      <c r="K565" s="21"/>
    </row>
    <row r="566" ht="97.2" hidden="1" spans="1:11">
      <c r="A566" s="21" t="s">
        <v>745</v>
      </c>
      <c r="B566" s="21" t="s">
        <v>784</v>
      </c>
      <c r="C566" s="21" t="s">
        <v>319</v>
      </c>
      <c r="D566" s="21">
        <v>9</v>
      </c>
      <c r="E566" s="21" t="s">
        <v>299</v>
      </c>
      <c r="F566" s="21" t="s">
        <v>300</v>
      </c>
      <c r="G566" s="21" t="s">
        <v>880</v>
      </c>
      <c r="H566" s="40">
        <v>0</v>
      </c>
      <c r="I566" s="40">
        <v>10976.88</v>
      </c>
      <c r="J566" s="40">
        <v>1254176</v>
      </c>
      <c r="K566" s="21"/>
    </row>
    <row r="567" ht="97.2" hidden="1" spans="1:11">
      <c r="A567" s="21" t="s">
        <v>745</v>
      </c>
      <c r="B567" s="21" t="s">
        <v>784</v>
      </c>
      <c r="C567" s="21" t="s">
        <v>319</v>
      </c>
      <c r="D567" s="21">
        <v>9</v>
      </c>
      <c r="E567" s="21" t="s">
        <v>299</v>
      </c>
      <c r="F567" s="21" t="s">
        <v>300</v>
      </c>
      <c r="G567" s="21" t="s">
        <v>785</v>
      </c>
      <c r="H567" s="40">
        <v>0</v>
      </c>
      <c r="I567" s="40">
        <v>9200</v>
      </c>
      <c r="J567" s="40">
        <v>1244976</v>
      </c>
      <c r="K567" s="21"/>
    </row>
    <row r="568" ht="21.6" hidden="1" spans="1:11">
      <c r="A568" s="21" t="s">
        <v>745</v>
      </c>
      <c r="B568" s="21"/>
      <c r="C568" s="21"/>
      <c r="D568" s="21"/>
      <c r="E568" s="21"/>
      <c r="F568" s="21"/>
      <c r="G568" s="21" t="s">
        <v>361</v>
      </c>
      <c r="H568" s="40">
        <v>304156.98</v>
      </c>
      <c r="I568" s="40">
        <v>265993.28</v>
      </c>
      <c r="J568" s="40">
        <v>1244976</v>
      </c>
      <c r="K568" s="21"/>
    </row>
    <row r="569" ht="21.6" hidden="1" spans="1:11">
      <c r="A569" s="21" t="s">
        <v>745</v>
      </c>
      <c r="B569" s="21"/>
      <c r="C569" s="21"/>
      <c r="D569" s="21"/>
      <c r="E569" s="21"/>
      <c r="F569" s="21"/>
      <c r="G569" s="21" t="s">
        <v>362</v>
      </c>
      <c r="H569" s="40">
        <v>2045665.52</v>
      </c>
      <c r="I569" s="40">
        <v>1383356.69</v>
      </c>
      <c r="J569" s="40">
        <v>1244976</v>
      </c>
      <c r="K569" s="21"/>
    </row>
    <row r="570" ht="21.6" hidden="1" spans="1:11">
      <c r="A570" s="21" t="s">
        <v>881</v>
      </c>
      <c r="B570" s="21"/>
      <c r="C570" s="21"/>
      <c r="D570" s="21"/>
      <c r="E570" s="21"/>
      <c r="F570" s="21"/>
      <c r="G570" s="21" t="s">
        <v>296</v>
      </c>
      <c r="H570" s="21"/>
      <c r="I570" s="21"/>
      <c r="J570" s="40">
        <v>1244976</v>
      </c>
      <c r="K570" s="21"/>
    </row>
    <row r="571" ht="64.8" hidden="1" spans="1:11">
      <c r="A571" s="21" t="s">
        <v>881</v>
      </c>
      <c r="B571" s="21" t="s">
        <v>882</v>
      </c>
      <c r="C571" s="21" t="s">
        <v>298</v>
      </c>
      <c r="D571" s="21">
        <v>2</v>
      </c>
      <c r="E571" s="21" t="s">
        <v>299</v>
      </c>
      <c r="F571" s="21" t="s">
        <v>300</v>
      </c>
      <c r="G571" s="21" t="s">
        <v>883</v>
      </c>
      <c r="H571" s="40">
        <v>32451.57</v>
      </c>
      <c r="I571" s="40">
        <v>0</v>
      </c>
      <c r="J571" s="40">
        <v>1277427.57</v>
      </c>
      <c r="K571" s="21"/>
    </row>
    <row r="572" ht="64.8" spans="1:11">
      <c r="A572" s="21" t="s">
        <v>881</v>
      </c>
      <c r="B572" s="21" t="s">
        <v>884</v>
      </c>
      <c r="C572" s="21" t="s">
        <v>298</v>
      </c>
      <c r="D572" s="21">
        <v>4</v>
      </c>
      <c r="E572" s="21" t="s">
        <v>299</v>
      </c>
      <c r="F572" s="21" t="s">
        <v>300</v>
      </c>
      <c r="G572" s="21" t="s">
        <v>885</v>
      </c>
      <c r="H572" s="42">
        <v>480</v>
      </c>
      <c r="I572" s="40">
        <v>0</v>
      </c>
      <c r="J572" s="40">
        <v>1277907.57</v>
      </c>
      <c r="K572" s="21"/>
    </row>
    <row r="573" ht="64.8" hidden="1" spans="1:11">
      <c r="A573" s="21" t="s">
        <v>881</v>
      </c>
      <c r="B573" s="21" t="s">
        <v>886</v>
      </c>
      <c r="C573" s="21" t="s">
        <v>298</v>
      </c>
      <c r="D573" s="21">
        <v>5</v>
      </c>
      <c r="E573" s="21" t="s">
        <v>299</v>
      </c>
      <c r="F573" s="21" t="s">
        <v>300</v>
      </c>
      <c r="G573" s="21" t="s">
        <v>887</v>
      </c>
      <c r="H573" s="40">
        <v>20849.05</v>
      </c>
      <c r="I573" s="40">
        <v>0</v>
      </c>
      <c r="J573" s="40">
        <v>1298756.62</v>
      </c>
      <c r="K573" s="21"/>
    </row>
    <row r="574" ht="64.8" hidden="1" spans="1:11">
      <c r="A574" s="21" t="s">
        <v>881</v>
      </c>
      <c r="B574" s="21" t="s">
        <v>888</v>
      </c>
      <c r="C574" s="21" t="s">
        <v>298</v>
      </c>
      <c r="D574" s="21">
        <v>6</v>
      </c>
      <c r="E574" s="21" t="s">
        <v>299</v>
      </c>
      <c r="F574" s="21" t="s">
        <v>300</v>
      </c>
      <c r="G574" s="21" t="s">
        <v>889</v>
      </c>
      <c r="H574" s="40">
        <v>29289.19</v>
      </c>
      <c r="I574" s="40">
        <v>0</v>
      </c>
      <c r="J574" s="40">
        <v>1328045.81</v>
      </c>
      <c r="K574" s="21"/>
    </row>
    <row r="575" ht="64.8" hidden="1" spans="1:11">
      <c r="A575" s="21" t="s">
        <v>881</v>
      </c>
      <c r="B575" s="21" t="s">
        <v>890</v>
      </c>
      <c r="C575" s="21" t="s">
        <v>298</v>
      </c>
      <c r="D575" s="21">
        <v>9</v>
      </c>
      <c r="E575" s="21" t="s">
        <v>299</v>
      </c>
      <c r="F575" s="21" t="s">
        <v>300</v>
      </c>
      <c r="G575" s="21" t="s">
        <v>891</v>
      </c>
      <c r="H575" s="40">
        <v>3060</v>
      </c>
      <c r="I575" s="40">
        <v>0</v>
      </c>
      <c r="J575" s="40">
        <v>1331105.81</v>
      </c>
      <c r="K575" s="21"/>
    </row>
    <row r="576" ht="64.8" hidden="1" spans="1:11">
      <c r="A576" s="21" t="s">
        <v>881</v>
      </c>
      <c r="B576" s="21" t="s">
        <v>890</v>
      </c>
      <c r="C576" s="21" t="s">
        <v>298</v>
      </c>
      <c r="D576" s="21">
        <v>9</v>
      </c>
      <c r="E576" s="21" t="s">
        <v>299</v>
      </c>
      <c r="F576" s="21" t="s">
        <v>300</v>
      </c>
      <c r="G576" s="21" t="s">
        <v>892</v>
      </c>
      <c r="H576" s="40">
        <v>510</v>
      </c>
      <c r="I576" s="40">
        <v>0</v>
      </c>
      <c r="J576" s="40">
        <v>1331615.81</v>
      </c>
      <c r="K576" s="21"/>
    </row>
    <row r="577" ht="64.8" hidden="1" spans="1:11">
      <c r="A577" s="21" t="s">
        <v>881</v>
      </c>
      <c r="B577" s="21" t="s">
        <v>890</v>
      </c>
      <c r="C577" s="21" t="s">
        <v>298</v>
      </c>
      <c r="D577" s="21">
        <v>9</v>
      </c>
      <c r="E577" s="21" t="s">
        <v>299</v>
      </c>
      <c r="F577" s="21" t="s">
        <v>300</v>
      </c>
      <c r="G577" s="21" t="s">
        <v>893</v>
      </c>
      <c r="H577" s="40">
        <v>3650</v>
      </c>
      <c r="I577" s="40">
        <v>0</v>
      </c>
      <c r="J577" s="40">
        <v>1335265.81</v>
      </c>
      <c r="K577" s="21"/>
    </row>
    <row r="578" ht="64.8" hidden="1" spans="1:11">
      <c r="A578" s="21" t="s">
        <v>881</v>
      </c>
      <c r="B578" s="21" t="s">
        <v>890</v>
      </c>
      <c r="C578" s="21" t="s">
        <v>298</v>
      </c>
      <c r="D578" s="21">
        <v>9</v>
      </c>
      <c r="E578" s="21" t="s">
        <v>299</v>
      </c>
      <c r="F578" s="21" t="s">
        <v>300</v>
      </c>
      <c r="G578" s="21" t="s">
        <v>894</v>
      </c>
      <c r="H578" s="40">
        <v>720</v>
      </c>
      <c r="I578" s="40">
        <v>0</v>
      </c>
      <c r="J578" s="40">
        <v>1335985.81</v>
      </c>
      <c r="K578" s="21"/>
    </row>
    <row r="579" ht="64.8" hidden="1" spans="1:11">
      <c r="A579" s="21" t="s">
        <v>881</v>
      </c>
      <c r="B579" s="21" t="s">
        <v>890</v>
      </c>
      <c r="C579" s="21" t="s">
        <v>298</v>
      </c>
      <c r="D579" s="21">
        <v>9</v>
      </c>
      <c r="E579" s="21" t="s">
        <v>299</v>
      </c>
      <c r="F579" s="21" t="s">
        <v>300</v>
      </c>
      <c r="G579" s="21" t="s">
        <v>895</v>
      </c>
      <c r="H579" s="40">
        <v>1060</v>
      </c>
      <c r="I579" s="40">
        <v>0</v>
      </c>
      <c r="J579" s="40">
        <v>1337045.81</v>
      </c>
      <c r="K579" s="21"/>
    </row>
    <row r="580" ht="64.8" hidden="1" spans="1:11">
      <c r="A580" s="21" t="s">
        <v>881</v>
      </c>
      <c r="B580" s="21" t="s">
        <v>890</v>
      </c>
      <c r="C580" s="21" t="s">
        <v>298</v>
      </c>
      <c r="D580" s="21">
        <v>9</v>
      </c>
      <c r="E580" s="21" t="s">
        <v>299</v>
      </c>
      <c r="F580" s="21" t="s">
        <v>300</v>
      </c>
      <c r="G580" s="21" t="s">
        <v>896</v>
      </c>
      <c r="H580" s="40">
        <v>1200</v>
      </c>
      <c r="I580" s="40">
        <v>0</v>
      </c>
      <c r="J580" s="40">
        <v>1338245.81</v>
      </c>
      <c r="K580" s="21"/>
    </row>
    <row r="581" ht="64.8" hidden="1" spans="1:11">
      <c r="A581" s="21" t="s">
        <v>881</v>
      </c>
      <c r="B581" s="21" t="s">
        <v>897</v>
      </c>
      <c r="C581" s="21" t="s">
        <v>298</v>
      </c>
      <c r="D581" s="21">
        <v>11</v>
      </c>
      <c r="E581" s="21" t="s">
        <v>299</v>
      </c>
      <c r="F581" s="21" t="s">
        <v>300</v>
      </c>
      <c r="G581" s="21" t="s">
        <v>898</v>
      </c>
      <c r="H581" s="40">
        <v>6913.44</v>
      </c>
      <c r="I581" s="40">
        <v>0</v>
      </c>
      <c r="J581" s="40">
        <v>1345159.25</v>
      </c>
      <c r="K581" s="21"/>
    </row>
    <row r="582" ht="64.8" hidden="1" spans="1:11">
      <c r="A582" s="21" t="s">
        <v>881</v>
      </c>
      <c r="B582" s="21" t="s">
        <v>899</v>
      </c>
      <c r="C582" s="21" t="s">
        <v>298</v>
      </c>
      <c r="D582" s="21">
        <v>13</v>
      </c>
      <c r="E582" s="21" t="s">
        <v>299</v>
      </c>
      <c r="F582" s="21" t="s">
        <v>300</v>
      </c>
      <c r="G582" s="21" t="s">
        <v>900</v>
      </c>
      <c r="H582" s="40">
        <v>2650</v>
      </c>
      <c r="I582" s="40">
        <v>0</v>
      </c>
      <c r="J582" s="40">
        <v>1347809.25</v>
      </c>
      <c r="K582" s="21"/>
    </row>
    <row r="583" ht="64.8" hidden="1" spans="1:11">
      <c r="A583" s="21" t="s">
        <v>881</v>
      </c>
      <c r="B583" s="21" t="s">
        <v>899</v>
      </c>
      <c r="C583" s="21" t="s">
        <v>298</v>
      </c>
      <c r="D583" s="21">
        <v>13</v>
      </c>
      <c r="E583" s="21" t="s">
        <v>299</v>
      </c>
      <c r="F583" s="21" t="s">
        <v>300</v>
      </c>
      <c r="G583" s="21" t="s">
        <v>901</v>
      </c>
      <c r="H583" s="40">
        <v>2650</v>
      </c>
      <c r="I583" s="40">
        <v>0</v>
      </c>
      <c r="J583" s="40">
        <v>1350459.25</v>
      </c>
      <c r="K583" s="21"/>
    </row>
    <row r="584" ht="64.8" hidden="1" spans="1:11">
      <c r="A584" s="21" t="s">
        <v>881</v>
      </c>
      <c r="B584" s="21" t="s">
        <v>899</v>
      </c>
      <c r="C584" s="21" t="s">
        <v>298</v>
      </c>
      <c r="D584" s="21">
        <v>13</v>
      </c>
      <c r="E584" s="21" t="s">
        <v>299</v>
      </c>
      <c r="F584" s="21" t="s">
        <v>300</v>
      </c>
      <c r="G584" s="21" t="s">
        <v>902</v>
      </c>
      <c r="H584" s="40">
        <v>1200</v>
      </c>
      <c r="I584" s="40">
        <v>0</v>
      </c>
      <c r="J584" s="40">
        <v>1351659.25</v>
      </c>
      <c r="K584" s="21"/>
    </row>
    <row r="585" ht="64.8" spans="1:11">
      <c r="A585" s="21" t="s">
        <v>881</v>
      </c>
      <c r="B585" s="21" t="s">
        <v>899</v>
      </c>
      <c r="C585" s="21" t="s">
        <v>298</v>
      </c>
      <c r="D585" s="21">
        <v>13</v>
      </c>
      <c r="E585" s="21" t="s">
        <v>299</v>
      </c>
      <c r="F585" s="21" t="s">
        <v>300</v>
      </c>
      <c r="G585" s="21" t="s">
        <v>903</v>
      </c>
      <c r="H585" s="42">
        <v>2016</v>
      </c>
      <c r="I585" s="40">
        <v>0</v>
      </c>
      <c r="J585" s="40">
        <v>1353675.25</v>
      </c>
      <c r="K585" s="21"/>
    </row>
    <row r="586" ht="64.8" spans="1:11">
      <c r="A586" s="21" t="s">
        <v>881</v>
      </c>
      <c r="B586" s="21" t="s">
        <v>899</v>
      </c>
      <c r="C586" s="21" t="s">
        <v>298</v>
      </c>
      <c r="D586" s="21">
        <v>13</v>
      </c>
      <c r="E586" s="21" t="s">
        <v>299</v>
      </c>
      <c r="F586" s="21" t="s">
        <v>300</v>
      </c>
      <c r="G586" s="21" t="s">
        <v>904</v>
      </c>
      <c r="H586" s="42">
        <v>2080</v>
      </c>
      <c r="I586" s="40">
        <v>0</v>
      </c>
      <c r="J586" s="40">
        <v>1355755.25</v>
      </c>
      <c r="K586" s="21"/>
    </row>
    <row r="587" ht="64.8" hidden="1" spans="1:11">
      <c r="A587" s="21" t="s">
        <v>881</v>
      </c>
      <c r="B587" s="21" t="s">
        <v>899</v>
      </c>
      <c r="C587" s="21" t="s">
        <v>298</v>
      </c>
      <c r="D587" s="21">
        <v>13</v>
      </c>
      <c r="E587" s="21" t="s">
        <v>299</v>
      </c>
      <c r="F587" s="21" t="s">
        <v>300</v>
      </c>
      <c r="G587" s="21" t="s">
        <v>905</v>
      </c>
      <c r="H587" s="40">
        <v>7800</v>
      </c>
      <c r="I587" s="40">
        <v>0</v>
      </c>
      <c r="J587" s="40">
        <v>1363555.25</v>
      </c>
      <c r="K587" s="21"/>
    </row>
    <row r="588" ht="64.8" hidden="1" spans="1:11">
      <c r="A588" s="21" t="s">
        <v>881</v>
      </c>
      <c r="B588" s="21" t="s">
        <v>906</v>
      </c>
      <c r="C588" s="21" t="s">
        <v>298</v>
      </c>
      <c r="D588" s="21">
        <v>14</v>
      </c>
      <c r="E588" s="21" t="s">
        <v>299</v>
      </c>
      <c r="F588" s="21" t="s">
        <v>300</v>
      </c>
      <c r="G588" s="21" t="s">
        <v>907</v>
      </c>
      <c r="H588" s="40">
        <v>1400</v>
      </c>
      <c r="I588" s="40">
        <v>0</v>
      </c>
      <c r="J588" s="40">
        <v>1364955.25</v>
      </c>
      <c r="K588" s="21"/>
    </row>
    <row r="589" ht="64.8" hidden="1" spans="1:11">
      <c r="A589" s="21" t="s">
        <v>881</v>
      </c>
      <c r="B589" s="21" t="s">
        <v>908</v>
      </c>
      <c r="C589" s="21" t="s">
        <v>298</v>
      </c>
      <c r="D589" s="21">
        <v>15</v>
      </c>
      <c r="E589" s="21" t="s">
        <v>299</v>
      </c>
      <c r="F589" s="21" t="s">
        <v>300</v>
      </c>
      <c r="G589" s="21" t="s">
        <v>909</v>
      </c>
      <c r="H589" s="40">
        <v>2910</v>
      </c>
      <c r="I589" s="40">
        <v>0</v>
      </c>
      <c r="J589" s="40">
        <v>1367865.25</v>
      </c>
      <c r="K589" s="21"/>
    </row>
    <row r="590" ht="64.8" hidden="1" spans="1:11">
      <c r="A590" s="21" t="s">
        <v>881</v>
      </c>
      <c r="B590" s="21" t="s">
        <v>910</v>
      </c>
      <c r="C590" s="21" t="s">
        <v>298</v>
      </c>
      <c r="D590" s="21">
        <v>16</v>
      </c>
      <c r="E590" s="21" t="s">
        <v>299</v>
      </c>
      <c r="F590" s="21" t="s">
        <v>300</v>
      </c>
      <c r="G590" s="21" t="s">
        <v>911</v>
      </c>
      <c r="H590" s="40">
        <v>1393.16</v>
      </c>
      <c r="I590" s="40">
        <v>0</v>
      </c>
      <c r="J590" s="40">
        <v>1369258.41</v>
      </c>
      <c r="K590" s="21"/>
    </row>
    <row r="591" ht="64.8" hidden="1" spans="1:11">
      <c r="A591" s="21" t="s">
        <v>881</v>
      </c>
      <c r="B591" s="21" t="s">
        <v>910</v>
      </c>
      <c r="C591" s="21" t="s">
        <v>298</v>
      </c>
      <c r="D591" s="21">
        <v>16</v>
      </c>
      <c r="E591" s="21" t="s">
        <v>299</v>
      </c>
      <c r="F591" s="21" t="s">
        <v>300</v>
      </c>
      <c r="G591" s="21" t="s">
        <v>912</v>
      </c>
      <c r="H591" s="40">
        <v>1123.08</v>
      </c>
      <c r="I591" s="40">
        <v>0</v>
      </c>
      <c r="J591" s="40">
        <v>1370381.49</v>
      </c>
      <c r="K591" s="21"/>
    </row>
    <row r="592" ht="64.8" hidden="1" spans="1:11">
      <c r="A592" s="21" t="s">
        <v>881</v>
      </c>
      <c r="B592" s="21" t="s">
        <v>910</v>
      </c>
      <c r="C592" s="21" t="s">
        <v>298</v>
      </c>
      <c r="D592" s="21">
        <v>16</v>
      </c>
      <c r="E592" s="21" t="s">
        <v>299</v>
      </c>
      <c r="F592" s="21" t="s">
        <v>300</v>
      </c>
      <c r="G592" s="21" t="s">
        <v>913</v>
      </c>
      <c r="H592" s="40">
        <v>1263.6</v>
      </c>
      <c r="I592" s="40">
        <v>0</v>
      </c>
      <c r="J592" s="40">
        <v>1371645.09</v>
      </c>
      <c r="K592" s="21"/>
    </row>
    <row r="593" ht="64.8" hidden="1" spans="1:11">
      <c r="A593" s="21" t="s">
        <v>881</v>
      </c>
      <c r="B593" s="21" t="s">
        <v>910</v>
      </c>
      <c r="C593" s="21" t="s">
        <v>298</v>
      </c>
      <c r="D593" s="21">
        <v>16</v>
      </c>
      <c r="E593" s="21" t="s">
        <v>299</v>
      </c>
      <c r="F593" s="21" t="s">
        <v>300</v>
      </c>
      <c r="G593" s="21" t="s">
        <v>914</v>
      </c>
      <c r="H593" s="40">
        <v>1193.84</v>
      </c>
      <c r="I593" s="40">
        <v>0</v>
      </c>
      <c r="J593" s="40">
        <v>1372838.93</v>
      </c>
      <c r="K593" s="21"/>
    </row>
    <row r="594" ht="64.8" hidden="1" spans="1:11">
      <c r="A594" s="21" t="s">
        <v>881</v>
      </c>
      <c r="B594" s="21" t="s">
        <v>910</v>
      </c>
      <c r="C594" s="21" t="s">
        <v>298</v>
      </c>
      <c r="D594" s="21">
        <v>16</v>
      </c>
      <c r="E594" s="21" t="s">
        <v>299</v>
      </c>
      <c r="F594" s="21" t="s">
        <v>300</v>
      </c>
      <c r="G594" s="21" t="s">
        <v>915</v>
      </c>
      <c r="H594" s="40">
        <v>1967.18</v>
      </c>
      <c r="I594" s="40">
        <v>0</v>
      </c>
      <c r="J594" s="40">
        <v>1374806.11</v>
      </c>
      <c r="K594" s="21"/>
    </row>
    <row r="595" ht="64.8" hidden="1" spans="1:11">
      <c r="A595" s="21" t="s">
        <v>881</v>
      </c>
      <c r="B595" s="21" t="s">
        <v>910</v>
      </c>
      <c r="C595" s="21" t="s">
        <v>298</v>
      </c>
      <c r="D595" s="21">
        <v>16</v>
      </c>
      <c r="E595" s="21" t="s">
        <v>299</v>
      </c>
      <c r="F595" s="21" t="s">
        <v>300</v>
      </c>
      <c r="G595" s="21" t="s">
        <v>916</v>
      </c>
      <c r="H595" s="40">
        <v>2641.02</v>
      </c>
      <c r="I595" s="40">
        <v>0</v>
      </c>
      <c r="J595" s="40">
        <v>1377447.13</v>
      </c>
      <c r="K595" s="21"/>
    </row>
    <row r="596" ht="64.8" spans="1:11">
      <c r="A596" s="21" t="s">
        <v>881</v>
      </c>
      <c r="B596" s="21" t="s">
        <v>917</v>
      </c>
      <c r="C596" s="21" t="s">
        <v>298</v>
      </c>
      <c r="D596" s="21">
        <v>17</v>
      </c>
      <c r="E596" s="21" t="s">
        <v>299</v>
      </c>
      <c r="F596" s="21" t="s">
        <v>300</v>
      </c>
      <c r="G596" s="21" t="s">
        <v>918</v>
      </c>
      <c r="H596" s="40">
        <v>4500</v>
      </c>
      <c r="I596" s="40">
        <v>0</v>
      </c>
      <c r="J596" s="40">
        <v>1381947.13</v>
      </c>
      <c r="K596" s="21"/>
    </row>
    <row r="597" ht="64.8" hidden="1" spans="1:11">
      <c r="A597" s="21" t="s">
        <v>881</v>
      </c>
      <c r="B597" s="21" t="s">
        <v>917</v>
      </c>
      <c r="C597" s="21" t="s">
        <v>298</v>
      </c>
      <c r="D597" s="21">
        <v>17</v>
      </c>
      <c r="E597" s="21" t="s">
        <v>299</v>
      </c>
      <c r="F597" s="21" t="s">
        <v>300</v>
      </c>
      <c r="G597" s="21" t="s">
        <v>919</v>
      </c>
      <c r="H597" s="40">
        <v>2700</v>
      </c>
      <c r="I597" s="40">
        <v>0</v>
      </c>
      <c r="J597" s="40">
        <v>1384647.13</v>
      </c>
      <c r="K597" s="21"/>
    </row>
    <row r="598" ht="64.8" hidden="1" spans="1:11">
      <c r="A598" s="21" t="s">
        <v>881</v>
      </c>
      <c r="B598" s="21" t="s">
        <v>920</v>
      </c>
      <c r="C598" s="21" t="s">
        <v>298</v>
      </c>
      <c r="D598" s="21">
        <v>18</v>
      </c>
      <c r="E598" s="21" t="s">
        <v>299</v>
      </c>
      <c r="F598" s="21" t="s">
        <v>300</v>
      </c>
      <c r="G598" s="21" t="s">
        <v>921</v>
      </c>
      <c r="H598" s="40">
        <v>32035.05</v>
      </c>
      <c r="I598" s="40">
        <v>0</v>
      </c>
      <c r="J598" s="40">
        <v>1416682.18</v>
      </c>
      <c r="K598" s="21"/>
    </row>
    <row r="599" ht="64.8" hidden="1" spans="1:11">
      <c r="A599" s="21" t="s">
        <v>881</v>
      </c>
      <c r="B599" s="21" t="s">
        <v>920</v>
      </c>
      <c r="C599" s="21" t="s">
        <v>298</v>
      </c>
      <c r="D599" s="21">
        <v>18</v>
      </c>
      <c r="E599" s="21" t="s">
        <v>299</v>
      </c>
      <c r="F599" s="21" t="s">
        <v>300</v>
      </c>
      <c r="G599" s="21" t="s">
        <v>922</v>
      </c>
      <c r="H599" s="40">
        <v>7854.7</v>
      </c>
      <c r="I599" s="40">
        <v>0</v>
      </c>
      <c r="J599" s="40">
        <v>1424536.88</v>
      </c>
      <c r="K599" s="21"/>
    </row>
    <row r="600" ht="64.8" hidden="1" spans="1:11">
      <c r="A600" s="21" t="s">
        <v>881</v>
      </c>
      <c r="B600" s="21" t="s">
        <v>923</v>
      </c>
      <c r="C600" s="21" t="s">
        <v>298</v>
      </c>
      <c r="D600" s="21">
        <v>20</v>
      </c>
      <c r="E600" s="21" t="s">
        <v>299</v>
      </c>
      <c r="F600" s="21" t="s">
        <v>300</v>
      </c>
      <c r="G600" s="21" t="s">
        <v>924</v>
      </c>
      <c r="H600" s="40">
        <v>3500</v>
      </c>
      <c r="I600" s="40">
        <v>0</v>
      </c>
      <c r="J600" s="40">
        <v>1428036.88</v>
      </c>
      <c r="K600" s="21"/>
    </row>
    <row r="601" ht="64.8" hidden="1" spans="1:11">
      <c r="A601" s="21" t="s">
        <v>881</v>
      </c>
      <c r="B601" s="21" t="s">
        <v>925</v>
      </c>
      <c r="C601" s="21" t="s">
        <v>298</v>
      </c>
      <c r="D601" s="21">
        <v>23</v>
      </c>
      <c r="E601" s="21" t="s">
        <v>299</v>
      </c>
      <c r="F601" s="21" t="s">
        <v>300</v>
      </c>
      <c r="G601" s="21" t="s">
        <v>926</v>
      </c>
      <c r="H601" s="40">
        <v>13930</v>
      </c>
      <c r="I601" s="40">
        <v>0</v>
      </c>
      <c r="J601" s="40">
        <v>1441966.88</v>
      </c>
      <c r="K601" s="21"/>
    </row>
    <row r="602" ht="64.8" hidden="1" spans="1:11">
      <c r="A602" s="21" t="s">
        <v>881</v>
      </c>
      <c r="B602" s="21" t="s">
        <v>927</v>
      </c>
      <c r="C602" s="21" t="s">
        <v>314</v>
      </c>
      <c r="D602" s="21">
        <v>41</v>
      </c>
      <c r="E602" s="21" t="s">
        <v>299</v>
      </c>
      <c r="F602" s="21" t="s">
        <v>300</v>
      </c>
      <c r="G602" s="21" t="s">
        <v>928</v>
      </c>
      <c r="H602" s="40">
        <v>3537.74</v>
      </c>
      <c r="I602" s="40">
        <v>0</v>
      </c>
      <c r="J602" s="40">
        <v>1445504.62</v>
      </c>
      <c r="K602" s="21"/>
    </row>
    <row r="603" ht="64.8" hidden="1" spans="1:11">
      <c r="A603" s="21" t="s">
        <v>881</v>
      </c>
      <c r="B603" s="21" t="s">
        <v>927</v>
      </c>
      <c r="C603" s="21" t="s">
        <v>314</v>
      </c>
      <c r="D603" s="21">
        <v>41</v>
      </c>
      <c r="E603" s="21" t="s">
        <v>299</v>
      </c>
      <c r="F603" s="21" t="s">
        <v>300</v>
      </c>
      <c r="G603" s="21" t="s">
        <v>929</v>
      </c>
      <c r="H603" s="40">
        <v>28852.66</v>
      </c>
      <c r="I603" s="40">
        <v>0</v>
      </c>
      <c r="J603" s="40">
        <v>1474357.28</v>
      </c>
      <c r="K603" s="21"/>
    </row>
    <row r="604" ht="64.8" hidden="1" spans="1:11">
      <c r="A604" s="21" t="s">
        <v>881</v>
      </c>
      <c r="B604" s="21" t="s">
        <v>927</v>
      </c>
      <c r="C604" s="21" t="s">
        <v>314</v>
      </c>
      <c r="D604" s="21">
        <v>49</v>
      </c>
      <c r="E604" s="21" t="s">
        <v>299</v>
      </c>
      <c r="F604" s="21" t="s">
        <v>300</v>
      </c>
      <c r="G604" s="21" t="s">
        <v>930</v>
      </c>
      <c r="H604" s="40">
        <v>6036.79</v>
      </c>
      <c r="I604" s="40">
        <v>0</v>
      </c>
      <c r="J604" s="40">
        <v>1480394.07</v>
      </c>
      <c r="K604" s="21"/>
    </row>
    <row r="605" ht="97.2" hidden="1" spans="1:11">
      <c r="A605" s="21" t="s">
        <v>881</v>
      </c>
      <c r="B605" s="21" t="s">
        <v>927</v>
      </c>
      <c r="C605" s="21" t="s">
        <v>319</v>
      </c>
      <c r="D605" s="21">
        <v>6</v>
      </c>
      <c r="E605" s="21" t="s">
        <v>299</v>
      </c>
      <c r="F605" s="21" t="s">
        <v>300</v>
      </c>
      <c r="G605" s="21" t="s">
        <v>931</v>
      </c>
      <c r="H605" s="40">
        <v>640</v>
      </c>
      <c r="I605" s="40">
        <v>0</v>
      </c>
      <c r="J605" s="40">
        <v>1481034.07</v>
      </c>
      <c r="K605" s="21"/>
    </row>
    <row r="606" ht="97.2" hidden="1" spans="1:11">
      <c r="A606" s="21" t="s">
        <v>881</v>
      </c>
      <c r="B606" s="21" t="s">
        <v>927</v>
      </c>
      <c r="C606" s="21" t="s">
        <v>319</v>
      </c>
      <c r="D606" s="21">
        <v>6</v>
      </c>
      <c r="E606" s="21" t="s">
        <v>299</v>
      </c>
      <c r="F606" s="21" t="s">
        <v>300</v>
      </c>
      <c r="G606" s="21" t="s">
        <v>932</v>
      </c>
      <c r="H606" s="40">
        <v>4590</v>
      </c>
      <c r="I606" s="40">
        <v>0</v>
      </c>
      <c r="J606" s="40">
        <v>1485624.07</v>
      </c>
      <c r="K606" s="21"/>
    </row>
    <row r="607" ht="97.2" hidden="1" spans="1:11">
      <c r="A607" s="21" t="s">
        <v>881</v>
      </c>
      <c r="B607" s="21" t="s">
        <v>927</v>
      </c>
      <c r="C607" s="21" t="s">
        <v>319</v>
      </c>
      <c r="D607" s="21">
        <v>7</v>
      </c>
      <c r="E607" s="21" t="s">
        <v>299</v>
      </c>
      <c r="F607" s="21" t="s">
        <v>300</v>
      </c>
      <c r="G607" s="21" t="s">
        <v>933</v>
      </c>
      <c r="H607" s="40">
        <v>0</v>
      </c>
      <c r="I607" s="40">
        <v>10997.98</v>
      </c>
      <c r="J607" s="40">
        <v>1474626.09</v>
      </c>
      <c r="K607" s="21"/>
    </row>
    <row r="608" ht="97.2" hidden="1" spans="1:11">
      <c r="A608" s="21" t="s">
        <v>881</v>
      </c>
      <c r="B608" s="21" t="s">
        <v>927</v>
      </c>
      <c r="C608" s="21" t="s">
        <v>319</v>
      </c>
      <c r="D608" s="21">
        <v>7</v>
      </c>
      <c r="E608" s="21" t="s">
        <v>299</v>
      </c>
      <c r="F608" s="21" t="s">
        <v>300</v>
      </c>
      <c r="G608" s="21" t="s">
        <v>934</v>
      </c>
      <c r="H608" s="40">
        <v>0</v>
      </c>
      <c r="I608" s="40">
        <v>2208.26</v>
      </c>
      <c r="J608" s="40">
        <v>1472417.83</v>
      </c>
      <c r="K608" s="21"/>
    </row>
    <row r="609" ht="97.2" hidden="1" spans="1:11">
      <c r="A609" s="21" t="s">
        <v>881</v>
      </c>
      <c r="B609" s="21" t="s">
        <v>927</v>
      </c>
      <c r="C609" s="21" t="s">
        <v>319</v>
      </c>
      <c r="D609" s="21">
        <v>7</v>
      </c>
      <c r="E609" s="21" t="s">
        <v>299</v>
      </c>
      <c r="F609" s="21" t="s">
        <v>300</v>
      </c>
      <c r="G609" s="21" t="s">
        <v>935</v>
      </c>
      <c r="H609" s="40">
        <v>0</v>
      </c>
      <c r="I609" s="40">
        <v>2207.98</v>
      </c>
      <c r="J609" s="40">
        <v>1470209.85</v>
      </c>
      <c r="K609" s="21"/>
    </row>
    <row r="610" ht="97.2" hidden="1" spans="1:11">
      <c r="A610" s="21" t="s">
        <v>881</v>
      </c>
      <c r="B610" s="21" t="s">
        <v>927</v>
      </c>
      <c r="C610" s="21" t="s">
        <v>319</v>
      </c>
      <c r="D610" s="21">
        <v>7</v>
      </c>
      <c r="E610" s="21" t="s">
        <v>299</v>
      </c>
      <c r="F610" s="21" t="s">
        <v>300</v>
      </c>
      <c r="G610" s="21" t="s">
        <v>936</v>
      </c>
      <c r="H610" s="40">
        <v>0</v>
      </c>
      <c r="I610" s="40">
        <v>2492.88</v>
      </c>
      <c r="J610" s="40">
        <v>1467716.97</v>
      </c>
      <c r="K610" s="21"/>
    </row>
    <row r="611" ht="97.2" hidden="1" spans="1:11">
      <c r="A611" s="21" t="s">
        <v>881</v>
      </c>
      <c r="B611" s="21" t="s">
        <v>927</v>
      </c>
      <c r="C611" s="21" t="s">
        <v>319</v>
      </c>
      <c r="D611" s="21">
        <v>7</v>
      </c>
      <c r="E611" s="21" t="s">
        <v>299</v>
      </c>
      <c r="F611" s="21" t="s">
        <v>300</v>
      </c>
      <c r="G611" s="21" t="s">
        <v>937</v>
      </c>
      <c r="H611" s="40">
        <v>0</v>
      </c>
      <c r="I611" s="40">
        <v>2136.75</v>
      </c>
      <c r="J611" s="40">
        <v>1465580.22</v>
      </c>
      <c r="K611" s="21"/>
    </row>
    <row r="612" ht="97.2" hidden="1" spans="1:11">
      <c r="A612" s="21" t="s">
        <v>881</v>
      </c>
      <c r="B612" s="21" t="s">
        <v>927</v>
      </c>
      <c r="C612" s="21" t="s">
        <v>319</v>
      </c>
      <c r="D612" s="21">
        <v>7</v>
      </c>
      <c r="E612" s="21" t="s">
        <v>299</v>
      </c>
      <c r="F612" s="21" t="s">
        <v>300</v>
      </c>
      <c r="G612" s="21" t="s">
        <v>938</v>
      </c>
      <c r="H612" s="40">
        <v>0</v>
      </c>
      <c r="I612" s="40">
        <v>2301.99</v>
      </c>
      <c r="J612" s="40">
        <v>1463278.23</v>
      </c>
      <c r="K612" s="21"/>
    </row>
    <row r="613" ht="97.2" hidden="1" spans="1:11">
      <c r="A613" s="21" t="s">
        <v>881</v>
      </c>
      <c r="B613" s="21" t="s">
        <v>927</v>
      </c>
      <c r="C613" s="21" t="s">
        <v>319</v>
      </c>
      <c r="D613" s="21">
        <v>7</v>
      </c>
      <c r="E613" s="21" t="s">
        <v>299</v>
      </c>
      <c r="F613" s="21" t="s">
        <v>300</v>
      </c>
      <c r="G613" s="21" t="s">
        <v>939</v>
      </c>
      <c r="H613" s="40">
        <v>0</v>
      </c>
      <c r="I613" s="40">
        <v>4666.81</v>
      </c>
      <c r="J613" s="40">
        <v>1458611.42</v>
      </c>
      <c r="K613" s="21"/>
    </row>
    <row r="614" ht="97.2" hidden="1" spans="1:11">
      <c r="A614" s="21" t="s">
        <v>881</v>
      </c>
      <c r="B614" s="21" t="s">
        <v>927</v>
      </c>
      <c r="C614" s="21" t="s">
        <v>319</v>
      </c>
      <c r="D614" s="21">
        <v>7</v>
      </c>
      <c r="E614" s="21" t="s">
        <v>299</v>
      </c>
      <c r="F614" s="21" t="s">
        <v>300</v>
      </c>
      <c r="G614" s="21" t="s">
        <v>940</v>
      </c>
      <c r="H614" s="40">
        <v>0</v>
      </c>
      <c r="I614" s="40">
        <v>8832.12</v>
      </c>
      <c r="J614" s="40">
        <v>1449779.3</v>
      </c>
      <c r="K614" s="21"/>
    </row>
    <row r="615" ht="97.2" hidden="1" spans="1:11">
      <c r="A615" s="21" t="s">
        <v>881</v>
      </c>
      <c r="B615" s="21" t="s">
        <v>927</v>
      </c>
      <c r="C615" s="21" t="s">
        <v>319</v>
      </c>
      <c r="D615" s="21">
        <v>7</v>
      </c>
      <c r="E615" s="21" t="s">
        <v>299</v>
      </c>
      <c r="F615" s="21" t="s">
        <v>300</v>
      </c>
      <c r="G615" s="21" t="s">
        <v>941</v>
      </c>
      <c r="H615" s="40">
        <v>0</v>
      </c>
      <c r="I615" s="40">
        <v>628.93</v>
      </c>
      <c r="J615" s="40">
        <v>1449150.37</v>
      </c>
      <c r="K615" s="21"/>
    </row>
    <row r="616" ht="97.2" hidden="1" spans="1:11">
      <c r="A616" s="21" t="s">
        <v>881</v>
      </c>
      <c r="B616" s="21" t="s">
        <v>927</v>
      </c>
      <c r="C616" s="21" t="s">
        <v>319</v>
      </c>
      <c r="D616" s="21">
        <v>7</v>
      </c>
      <c r="E616" s="21" t="s">
        <v>299</v>
      </c>
      <c r="F616" s="21" t="s">
        <v>300</v>
      </c>
      <c r="G616" s="21" t="s">
        <v>942</v>
      </c>
      <c r="H616" s="40">
        <v>0</v>
      </c>
      <c r="I616" s="40">
        <v>1257.12</v>
      </c>
      <c r="J616" s="40">
        <v>1447893.25</v>
      </c>
      <c r="K616" s="21"/>
    </row>
    <row r="617" ht="97.2" hidden="1" spans="1:11">
      <c r="A617" s="21" t="s">
        <v>881</v>
      </c>
      <c r="B617" s="21" t="s">
        <v>927</v>
      </c>
      <c r="C617" s="21" t="s">
        <v>319</v>
      </c>
      <c r="D617" s="21">
        <v>7</v>
      </c>
      <c r="E617" s="21" t="s">
        <v>299</v>
      </c>
      <c r="F617" s="21" t="s">
        <v>300</v>
      </c>
      <c r="G617" s="21" t="s">
        <v>943</v>
      </c>
      <c r="H617" s="40">
        <v>0</v>
      </c>
      <c r="I617" s="40">
        <v>284.9</v>
      </c>
      <c r="J617" s="40">
        <v>1447608.35</v>
      </c>
      <c r="K617" s="21"/>
    </row>
    <row r="618" ht="97.2" hidden="1" spans="1:11">
      <c r="A618" s="21" t="s">
        <v>881</v>
      </c>
      <c r="B618" s="21" t="s">
        <v>927</v>
      </c>
      <c r="C618" s="21" t="s">
        <v>319</v>
      </c>
      <c r="D618" s="21">
        <v>7</v>
      </c>
      <c r="E618" s="21" t="s">
        <v>299</v>
      </c>
      <c r="F618" s="21" t="s">
        <v>300</v>
      </c>
      <c r="G618" s="21" t="s">
        <v>944</v>
      </c>
      <c r="H618" s="40">
        <v>0</v>
      </c>
      <c r="I618" s="40">
        <v>853.29</v>
      </c>
      <c r="J618" s="40">
        <v>1446755.06</v>
      </c>
      <c r="K618" s="21"/>
    </row>
    <row r="619" ht="97.2" hidden="1" spans="1:11">
      <c r="A619" s="21" t="s">
        <v>881</v>
      </c>
      <c r="B619" s="21" t="s">
        <v>927</v>
      </c>
      <c r="C619" s="21" t="s">
        <v>319</v>
      </c>
      <c r="D619" s="21">
        <v>7</v>
      </c>
      <c r="E619" s="21" t="s">
        <v>299</v>
      </c>
      <c r="F619" s="21" t="s">
        <v>300</v>
      </c>
      <c r="G619" s="21" t="s">
        <v>945</v>
      </c>
      <c r="H619" s="40">
        <v>0</v>
      </c>
      <c r="I619" s="40">
        <v>436.61</v>
      </c>
      <c r="J619" s="40">
        <v>1446318.45</v>
      </c>
      <c r="K619" s="21"/>
    </row>
    <row r="620" ht="97.2" hidden="1" spans="1:11">
      <c r="A620" s="21" t="s">
        <v>881</v>
      </c>
      <c r="B620" s="21" t="s">
        <v>927</v>
      </c>
      <c r="C620" s="21" t="s">
        <v>319</v>
      </c>
      <c r="D620" s="21">
        <v>7</v>
      </c>
      <c r="E620" s="21" t="s">
        <v>299</v>
      </c>
      <c r="F620" s="21" t="s">
        <v>300</v>
      </c>
      <c r="G620" s="21" t="s">
        <v>946</v>
      </c>
      <c r="H620" s="40">
        <v>0</v>
      </c>
      <c r="I620" s="40">
        <v>569.8</v>
      </c>
      <c r="J620" s="40">
        <v>1445748.65</v>
      </c>
      <c r="K620" s="21"/>
    </row>
    <row r="621" ht="97.2" hidden="1" spans="1:11">
      <c r="A621" s="21" t="s">
        <v>881</v>
      </c>
      <c r="B621" s="21" t="s">
        <v>927</v>
      </c>
      <c r="C621" s="21" t="s">
        <v>319</v>
      </c>
      <c r="D621" s="21">
        <v>7</v>
      </c>
      <c r="E621" s="21" t="s">
        <v>299</v>
      </c>
      <c r="F621" s="21" t="s">
        <v>300</v>
      </c>
      <c r="G621" s="21" t="s">
        <v>947</v>
      </c>
      <c r="H621" s="40">
        <v>0</v>
      </c>
      <c r="I621" s="40">
        <v>900</v>
      </c>
      <c r="J621" s="40">
        <v>1444848.65</v>
      </c>
      <c r="K621" s="21"/>
    </row>
    <row r="622" ht="97.2" hidden="1" spans="1:11">
      <c r="A622" s="21" t="s">
        <v>881</v>
      </c>
      <c r="B622" s="21" t="s">
        <v>927</v>
      </c>
      <c r="C622" s="21" t="s">
        <v>319</v>
      </c>
      <c r="D622" s="21">
        <v>7</v>
      </c>
      <c r="E622" s="21" t="s">
        <v>299</v>
      </c>
      <c r="F622" s="21" t="s">
        <v>300</v>
      </c>
      <c r="G622" s="21" t="s">
        <v>948</v>
      </c>
      <c r="H622" s="40">
        <v>0</v>
      </c>
      <c r="I622" s="40">
        <v>356.39</v>
      </c>
      <c r="J622" s="40">
        <v>1444492.26</v>
      </c>
      <c r="K622" s="21"/>
    </row>
    <row r="623" ht="97.2" hidden="1" spans="1:11">
      <c r="A623" s="21" t="s">
        <v>881</v>
      </c>
      <c r="B623" s="21" t="s">
        <v>927</v>
      </c>
      <c r="C623" s="21" t="s">
        <v>319</v>
      </c>
      <c r="D623" s="21">
        <v>7</v>
      </c>
      <c r="E623" s="21" t="s">
        <v>299</v>
      </c>
      <c r="F623" s="21" t="s">
        <v>300</v>
      </c>
      <c r="G623" s="21" t="s">
        <v>949</v>
      </c>
      <c r="H623" s="40">
        <v>0</v>
      </c>
      <c r="I623" s="40">
        <v>162</v>
      </c>
      <c r="J623" s="40">
        <v>1444330.26</v>
      </c>
      <c r="K623" s="21"/>
    </row>
    <row r="624" ht="97.2" hidden="1" spans="1:11">
      <c r="A624" s="21" t="s">
        <v>881</v>
      </c>
      <c r="B624" s="21" t="s">
        <v>927</v>
      </c>
      <c r="C624" s="21" t="s">
        <v>319</v>
      </c>
      <c r="D624" s="21">
        <v>7</v>
      </c>
      <c r="E624" s="21" t="s">
        <v>299</v>
      </c>
      <c r="F624" s="21" t="s">
        <v>300</v>
      </c>
      <c r="G624" s="21" t="s">
        <v>950</v>
      </c>
      <c r="H624" s="40">
        <v>0</v>
      </c>
      <c r="I624" s="40">
        <v>7648.98</v>
      </c>
      <c r="J624" s="40">
        <v>1436681.28</v>
      </c>
      <c r="K624" s="21"/>
    </row>
    <row r="625" ht="97.2" hidden="1" spans="1:11">
      <c r="A625" s="21" t="s">
        <v>881</v>
      </c>
      <c r="B625" s="21" t="s">
        <v>927</v>
      </c>
      <c r="C625" s="21" t="s">
        <v>319</v>
      </c>
      <c r="D625" s="21">
        <v>7</v>
      </c>
      <c r="E625" s="21" t="s">
        <v>299</v>
      </c>
      <c r="F625" s="21" t="s">
        <v>300</v>
      </c>
      <c r="G625" s="21" t="s">
        <v>951</v>
      </c>
      <c r="H625" s="40">
        <v>0</v>
      </c>
      <c r="I625" s="40">
        <v>1507.84</v>
      </c>
      <c r="J625" s="40">
        <v>1435173.44</v>
      </c>
      <c r="K625" s="21"/>
    </row>
    <row r="626" ht="97.2" hidden="1" spans="1:11">
      <c r="A626" s="21" t="s">
        <v>881</v>
      </c>
      <c r="B626" s="21" t="s">
        <v>927</v>
      </c>
      <c r="C626" s="21" t="s">
        <v>319</v>
      </c>
      <c r="D626" s="21">
        <v>7</v>
      </c>
      <c r="E626" s="21" t="s">
        <v>299</v>
      </c>
      <c r="F626" s="21" t="s">
        <v>300</v>
      </c>
      <c r="G626" s="21" t="s">
        <v>952</v>
      </c>
      <c r="H626" s="40">
        <v>0</v>
      </c>
      <c r="I626" s="40">
        <v>6124.21</v>
      </c>
      <c r="J626" s="40">
        <v>1429049.23</v>
      </c>
      <c r="K626" s="21"/>
    </row>
    <row r="627" ht="97.2" hidden="1" spans="1:11">
      <c r="A627" s="21" t="s">
        <v>881</v>
      </c>
      <c r="B627" s="21" t="s">
        <v>927</v>
      </c>
      <c r="C627" s="21" t="s">
        <v>319</v>
      </c>
      <c r="D627" s="21">
        <v>7</v>
      </c>
      <c r="E627" s="21" t="s">
        <v>299</v>
      </c>
      <c r="F627" s="21" t="s">
        <v>300</v>
      </c>
      <c r="G627" s="21" t="s">
        <v>953</v>
      </c>
      <c r="H627" s="40">
        <v>0</v>
      </c>
      <c r="I627" s="40">
        <v>1813</v>
      </c>
      <c r="J627" s="40">
        <v>1427236.23</v>
      </c>
      <c r="K627" s="21"/>
    </row>
    <row r="628" ht="97.2" hidden="1" spans="1:11">
      <c r="A628" s="21" t="s">
        <v>881</v>
      </c>
      <c r="B628" s="21" t="s">
        <v>927</v>
      </c>
      <c r="C628" s="21" t="s">
        <v>319</v>
      </c>
      <c r="D628" s="21">
        <v>7</v>
      </c>
      <c r="E628" s="21" t="s">
        <v>299</v>
      </c>
      <c r="F628" s="21" t="s">
        <v>300</v>
      </c>
      <c r="G628" s="21" t="s">
        <v>954</v>
      </c>
      <c r="H628" s="40">
        <v>0</v>
      </c>
      <c r="I628" s="40">
        <v>369</v>
      </c>
      <c r="J628" s="40">
        <v>1426867.23</v>
      </c>
      <c r="K628" s="21"/>
    </row>
    <row r="629" ht="97.2" hidden="1" spans="1:11">
      <c r="A629" s="21" t="s">
        <v>881</v>
      </c>
      <c r="B629" s="21" t="s">
        <v>927</v>
      </c>
      <c r="C629" s="21" t="s">
        <v>319</v>
      </c>
      <c r="D629" s="21">
        <v>7</v>
      </c>
      <c r="E629" s="21" t="s">
        <v>299</v>
      </c>
      <c r="F629" s="21" t="s">
        <v>300</v>
      </c>
      <c r="G629" s="21" t="s">
        <v>955</v>
      </c>
      <c r="H629" s="40">
        <v>0</v>
      </c>
      <c r="I629" s="40">
        <v>2452.83</v>
      </c>
      <c r="J629" s="40">
        <v>1424414.4</v>
      </c>
      <c r="K629" s="21"/>
    </row>
    <row r="630" ht="97.2" hidden="1" spans="1:11">
      <c r="A630" s="21" t="s">
        <v>881</v>
      </c>
      <c r="B630" s="21" t="s">
        <v>927</v>
      </c>
      <c r="C630" s="21" t="s">
        <v>319</v>
      </c>
      <c r="D630" s="21">
        <v>9</v>
      </c>
      <c r="E630" s="21" t="s">
        <v>299</v>
      </c>
      <c r="F630" s="21" t="s">
        <v>300</v>
      </c>
      <c r="G630" s="21" t="s">
        <v>956</v>
      </c>
      <c r="H630" s="40">
        <v>3846</v>
      </c>
      <c r="I630" s="40">
        <v>0</v>
      </c>
      <c r="J630" s="40">
        <v>1428260.4</v>
      </c>
      <c r="K630" s="21"/>
    </row>
    <row r="631" ht="97.2" hidden="1" spans="1:11">
      <c r="A631" s="21" t="s">
        <v>881</v>
      </c>
      <c r="B631" s="21" t="s">
        <v>927</v>
      </c>
      <c r="C631" s="21" t="s">
        <v>319</v>
      </c>
      <c r="D631" s="21">
        <v>17</v>
      </c>
      <c r="E631" s="21" t="s">
        <v>299</v>
      </c>
      <c r="F631" s="21" t="s">
        <v>300</v>
      </c>
      <c r="G631" s="21" t="s">
        <v>957</v>
      </c>
      <c r="H631" s="40">
        <v>0</v>
      </c>
      <c r="I631" s="40">
        <v>2849</v>
      </c>
      <c r="J631" s="40">
        <v>1425411.4</v>
      </c>
      <c r="K631" s="21"/>
    </row>
    <row r="632" ht="97.2" hidden="1" spans="1:11">
      <c r="A632" s="21" t="s">
        <v>881</v>
      </c>
      <c r="B632" s="21" t="s">
        <v>927</v>
      </c>
      <c r="C632" s="21" t="s">
        <v>319</v>
      </c>
      <c r="D632" s="21">
        <v>17</v>
      </c>
      <c r="E632" s="21" t="s">
        <v>299</v>
      </c>
      <c r="F632" s="21" t="s">
        <v>300</v>
      </c>
      <c r="G632" s="21" t="s">
        <v>958</v>
      </c>
      <c r="H632" s="40">
        <v>0</v>
      </c>
      <c r="I632" s="40">
        <v>433.33</v>
      </c>
      <c r="J632" s="40">
        <v>1424978.07</v>
      </c>
      <c r="K632" s="21"/>
    </row>
    <row r="633" ht="97.2" hidden="1" spans="1:11">
      <c r="A633" s="21" t="s">
        <v>881</v>
      </c>
      <c r="B633" s="21" t="s">
        <v>927</v>
      </c>
      <c r="C633" s="21" t="s">
        <v>319</v>
      </c>
      <c r="D633" s="21">
        <v>17</v>
      </c>
      <c r="E633" s="21" t="s">
        <v>299</v>
      </c>
      <c r="F633" s="21" t="s">
        <v>300</v>
      </c>
      <c r="G633" s="21" t="s">
        <v>959</v>
      </c>
      <c r="H633" s="40">
        <v>0</v>
      </c>
      <c r="I633" s="40">
        <v>32239.39</v>
      </c>
      <c r="J633" s="40">
        <v>1392738.68</v>
      </c>
      <c r="K633" s="21"/>
    </row>
    <row r="634" ht="97.2" hidden="1" spans="1:11">
      <c r="A634" s="21" t="s">
        <v>881</v>
      </c>
      <c r="B634" s="21" t="s">
        <v>927</v>
      </c>
      <c r="C634" s="21" t="s">
        <v>319</v>
      </c>
      <c r="D634" s="21">
        <v>17</v>
      </c>
      <c r="E634" s="21" t="s">
        <v>299</v>
      </c>
      <c r="F634" s="21" t="s">
        <v>300</v>
      </c>
      <c r="G634" s="21" t="s">
        <v>960</v>
      </c>
      <c r="H634" s="40">
        <v>0</v>
      </c>
      <c r="I634" s="40">
        <v>4455.85</v>
      </c>
      <c r="J634" s="40">
        <v>1388282.83</v>
      </c>
      <c r="K634" s="21"/>
    </row>
    <row r="635" ht="97.2" hidden="1" spans="1:11">
      <c r="A635" s="21" t="s">
        <v>881</v>
      </c>
      <c r="B635" s="21" t="s">
        <v>927</v>
      </c>
      <c r="C635" s="21" t="s">
        <v>319</v>
      </c>
      <c r="D635" s="21">
        <v>17</v>
      </c>
      <c r="E635" s="21" t="s">
        <v>299</v>
      </c>
      <c r="F635" s="21" t="s">
        <v>300</v>
      </c>
      <c r="G635" s="21" t="s">
        <v>961</v>
      </c>
      <c r="H635" s="40">
        <v>0</v>
      </c>
      <c r="I635" s="40">
        <v>609.37</v>
      </c>
      <c r="J635" s="40">
        <v>1387673.46</v>
      </c>
      <c r="K635" s="21"/>
    </row>
    <row r="636" ht="97.2" hidden="1" spans="1:11">
      <c r="A636" s="21" t="s">
        <v>881</v>
      </c>
      <c r="B636" s="21" t="s">
        <v>927</v>
      </c>
      <c r="C636" s="21" t="s">
        <v>319</v>
      </c>
      <c r="D636" s="21">
        <v>17</v>
      </c>
      <c r="E636" s="21" t="s">
        <v>299</v>
      </c>
      <c r="F636" s="21" t="s">
        <v>300</v>
      </c>
      <c r="G636" s="21" t="s">
        <v>962</v>
      </c>
      <c r="H636" s="40">
        <v>0</v>
      </c>
      <c r="I636" s="40">
        <v>1433.33</v>
      </c>
      <c r="J636" s="40">
        <v>1386240.13</v>
      </c>
      <c r="K636" s="21"/>
    </row>
    <row r="637" ht="97.2" hidden="1" spans="1:11">
      <c r="A637" s="21" t="s">
        <v>881</v>
      </c>
      <c r="B637" s="21" t="s">
        <v>927</v>
      </c>
      <c r="C637" s="21" t="s">
        <v>319</v>
      </c>
      <c r="D637" s="21">
        <v>17</v>
      </c>
      <c r="E637" s="21" t="s">
        <v>299</v>
      </c>
      <c r="F637" s="21" t="s">
        <v>300</v>
      </c>
      <c r="G637" s="21" t="s">
        <v>963</v>
      </c>
      <c r="H637" s="40">
        <v>0</v>
      </c>
      <c r="I637" s="40">
        <v>2358.49</v>
      </c>
      <c r="J637" s="40">
        <v>1383881.64</v>
      </c>
      <c r="K637" s="21"/>
    </row>
    <row r="638" ht="97.2" hidden="1" spans="1:11">
      <c r="A638" s="21" t="s">
        <v>881</v>
      </c>
      <c r="B638" s="21" t="s">
        <v>927</v>
      </c>
      <c r="C638" s="21" t="s">
        <v>319</v>
      </c>
      <c r="D638" s="21">
        <v>17</v>
      </c>
      <c r="E638" s="21" t="s">
        <v>299</v>
      </c>
      <c r="F638" s="21" t="s">
        <v>300</v>
      </c>
      <c r="G638" s="21" t="s">
        <v>964</v>
      </c>
      <c r="H638" s="40">
        <v>0</v>
      </c>
      <c r="I638" s="40">
        <v>289.08</v>
      </c>
      <c r="J638" s="40">
        <v>1383592.56</v>
      </c>
      <c r="K638" s="21"/>
    </row>
    <row r="639" ht="97.2" hidden="1" spans="1:11">
      <c r="A639" s="21" t="s">
        <v>881</v>
      </c>
      <c r="B639" s="21" t="s">
        <v>927</v>
      </c>
      <c r="C639" s="21" t="s">
        <v>319</v>
      </c>
      <c r="D639" s="21">
        <v>17</v>
      </c>
      <c r="E639" s="21" t="s">
        <v>299</v>
      </c>
      <c r="F639" s="21" t="s">
        <v>300</v>
      </c>
      <c r="G639" s="21" t="s">
        <v>965</v>
      </c>
      <c r="H639" s="40">
        <v>0</v>
      </c>
      <c r="I639" s="40">
        <v>11479.21</v>
      </c>
      <c r="J639" s="40">
        <v>1372113.35</v>
      </c>
      <c r="K639" s="21"/>
    </row>
    <row r="640" ht="97.2" hidden="1" spans="1:11">
      <c r="A640" s="21" t="s">
        <v>881</v>
      </c>
      <c r="B640" s="21" t="s">
        <v>927</v>
      </c>
      <c r="C640" s="21" t="s">
        <v>319</v>
      </c>
      <c r="D640" s="21">
        <v>17</v>
      </c>
      <c r="E640" s="21" t="s">
        <v>299</v>
      </c>
      <c r="F640" s="21" t="s">
        <v>300</v>
      </c>
      <c r="G640" s="21" t="s">
        <v>966</v>
      </c>
      <c r="H640" s="40">
        <v>0</v>
      </c>
      <c r="I640" s="40">
        <v>800</v>
      </c>
      <c r="J640" s="40">
        <v>1371313.35</v>
      </c>
      <c r="K640" s="21"/>
    </row>
    <row r="641" ht="97.2" hidden="1" spans="1:11">
      <c r="A641" s="21" t="s">
        <v>881</v>
      </c>
      <c r="B641" s="21" t="s">
        <v>927</v>
      </c>
      <c r="C641" s="21" t="s">
        <v>319</v>
      </c>
      <c r="D641" s="21">
        <v>17</v>
      </c>
      <c r="E641" s="21" t="s">
        <v>299</v>
      </c>
      <c r="F641" s="21" t="s">
        <v>300</v>
      </c>
      <c r="G641" s="21" t="s">
        <v>967</v>
      </c>
      <c r="H641" s="40">
        <v>0</v>
      </c>
      <c r="I641" s="40">
        <v>664.84</v>
      </c>
      <c r="J641" s="40">
        <v>1370648.51</v>
      </c>
      <c r="K641" s="21"/>
    </row>
    <row r="642" ht="97.2" hidden="1" spans="1:11">
      <c r="A642" s="21" t="s">
        <v>881</v>
      </c>
      <c r="B642" s="21" t="s">
        <v>927</v>
      </c>
      <c r="C642" s="21" t="s">
        <v>319</v>
      </c>
      <c r="D642" s="21">
        <v>17</v>
      </c>
      <c r="E642" s="21" t="s">
        <v>299</v>
      </c>
      <c r="F642" s="21" t="s">
        <v>300</v>
      </c>
      <c r="G642" s="21" t="s">
        <v>968</v>
      </c>
      <c r="H642" s="40">
        <v>0</v>
      </c>
      <c r="I642" s="40">
        <v>1000</v>
      </c>
      <c r="J642" s="40">
        <v>1369648.51</v>
      </c>
      <c r="K642" s="21"/>
    </row>
    <row r="643" ht="97.2" hidden="1" spans="1:11">
      <c r="A643" s="21" t="s">
        <v>881</v>
      </c>
      <c r="B643" s="21" t="s">
        <v>927</v>
      </c>
      <c r="C643" s="21" t="s">
        <v>319</v>
      </c>
      <c r="D643" s="21">
        <v>17</v>
      </c>
      <c r="E643" s="21" t="s">
        <v>299</v>
      </c>
      <c r="F643" s="21" t="s">
        <v>300</v>
      </c>
      <c r="G643" s="21" t="s">
        <v>460</v>
      </c>
      <c r="H643" s="40">
        <v>0</v>
      </c>
      <c r="I643" s="40">
        <v>291</v>
      </c>
      <c r="J643" s="40">
        <v>1369357.51</v>
      </c>
      <c r="K643" s="21"/>
    </row>
    <row r="644" ht="97.2" hidden="1" spans="1:11">
      <c r="A644" s="21" t="s">
        <v>881</v>
      </c>
      <c r="B644" s="21" t="s">
        <v>927</v>
      </c>
      <c r="C644" s="21" t="s">
        <v>319</v>
      </c>
      <c r="D644" s="21">
        <v>17</v>
      </c>
      <c r="E644" s="21" t="s">
        <v>299</v>
      </c>
      <c r="F644" s="21" t="s">
        <v>300</v>
      </c>
      <c r="G644" s="21" t="s">
        <v>969</v>
      </c>
      <c r="H644" s="40">
        <v>0</v>
      </c>
      <c r="I644" s="40">
        <v>1779.94</v>
      </c>
      <c r="J644" s="40">
        <v>1367577.57</v>
      </c>
      <c r="K644" s="21"/>
    </row>
    <row r="645" ht="97.2" hidden="1" spans="1:11">
      <c r="A645" s="21" t="s">
        <v>881</v>
      </c>
      <c r="B645" s="21" t="s">
        <v>927</v>
      </c>
      <c r="C645" s="21" t="s">
        <v>319</v>
      </c>
      <c r="D645" s="21">
        <v>17</v>
      </c>
      <c r="E645" s="21" t="s">
        <v>299</v>
      </c>
      <c r="F645" s="21" t="s">
        <v>300</v>
      </c>
      <c r="G645" s="21" t="s">
        <v>970</v>
      </c>
      <c r="H645" s="40">
        <v>0</v>
      </c>
      <c r="I645" s="40">
        <v>6432.25</v>
      </c>
      <c r="J645" s="40">
        <v>1361145.32</v>
      </c>
      <c r="K645" s="21"/>
    </row>
    <row r="646" ht="97.2" hidden="1" spans="1:11">
      <c r="A646" s="21" t="s">
        <v>881</v>
      </c>
      <c r="B646" s="21" t="s">
        <v>927</v>
      </c>
      <c r="C646" s="21" t="s">
        <v>319</v>
      </c>
      <c r="D646" s="21">
        <v>17</v>
      </c>
      <c r="E646" s="21" t="s">
        <v>299</v>
      </c>
      <c r="F646" s="21" t="s">
        <v>300</v>
      </c>
      <c r="G646" s="21" t="s">
        <v>971</v>
      </c>
      <c r="H646" s="40">
        <v>0</v>
      </c>
      <c r="I646" s="40">
        <v>1667</v>
      </c>
      <c r="J646" s="40">
        <v>1359478.32</v>
      </c>
      <c r="K646" s="21"/>
    </row>
    <row r="647" ht="97.2" hidden="1" spans="1:11">
      <c r="A647" s="21" t="s">
        <v>881</v>
      </c>
      <c r="B647" s="21" t="s">
        <v>927</v>
      </c>
      <c r="C647" s="21" t="s">
        <v>319</v>
      </c>
      <c r="D647" s="21">
        <v>17</v>
      </c>
      <c r="E647" s="21" t="s">
        <v>299</v>
      </c>
      <c r="F647" s="21" t="s">
        <v>300</v>
      </c>
      <c r="G647" s="21" t="s">
        <v>472</v>
      </c>
      <c r="H647" s="40">
        <v>0</v>
      </c>
      <c r="I647" s="40">
        <v>905</v>
      </c>
      <c r="J647" s="40">
        <v>1358573.32</v>
      </c>
      <c r="K647" s="21"/>
    </row>
    <row r="648" ht="97.2" hidden="1" spans="1:11">
      <c r="A648" s="21" t="s">
        <v>881</v>
      </c>
      <c r="B648" s="21" t="s">
        <v>927</v>
      </c>
      <c r="C648" s="21" t="s">
        <v>319</v>
      </c>
      <c r="D648" s="21">
        <v>17</v>
      </c>
      <c r="E648" s="21" t="s">
        <v>299</v>
      </c>
      <c r="F648" s="21" t="s">
        <v>300</v>
      </c>
      <c r="G648" s="21" t="s">
        <v>473</v>
      </c>
      <c r="H648" s="40">
        <v>0</v>
      </c>
      <c r="I648" s="40">
        <v>5847.83</v>
      </c>
      <c r="J648" s="40">
        <v>1352725.49</v>
      </c>
      <c r="K648" s="21"/>
    </row>
    <row r="649" ht="97.2" hidden="1" spans="1:11">
      <c r="A649" s="21" t="s">
        <v>881</v>
      </c>
      <c r="B649" s="21" t="s">
        <v>927</v>
      </c>
      <c r="C649" s="21" t="s">
        <v>319</v>
      </c>
      <c r="D649" s="21">
        <v>17</v>
      </c>
      <c r="E649" s="21" t="s">
        <v>299</v>
      </c>
      <c r="F649" s="21" t="s">
        <v>300</v>
      </c>
      <c r="G649" s="21" t="s">
        <v>558</v>
      </c>
      <c r="H649" s="40">
        <v>0</v>
      </c>
      <c r="I649" s="40">
        <v>893.55</v>
      </c>
      <c r="J649" s="40">
        <v>1351831.94</v>
      </c>
      <c r="K649" s="21"/>
    </row>
    <row r="650" ht="97.2" hidden="1" spans="1:11">
      <c r="A650" s="21" t="s">
        <v>881</v>
      </c>
      <c r="B650" s="21" t="s">
        <v>927</v>
      </c>
      <c r="C650" s="21" t="s">
        <v>319</v>
      </c>
      <c r="D650" s="21">
        <v>17</v>
      </c>
      <c r="E650" s="21" t="s">
        <v>299</v>
      </c>
      <c r="F650" s="21" t="s">
        <v>300</v>
      </c>
      <c r="G650" s="21" t="s">
        <v>632</v>
      </c>
      <c r="H650" s="40">
        <v>0</v>
      </c>
      <c r="I650" s="40">
        <v>1973.59</v>
      </c>
      <c r="J650" s="40">
        <v>1349858.35</v>
      </c>
      <c r="K650" s="21"/>
    </row>
    <row r="651" ht="97.2" hidden="1" spans="1:11">
      <c r="A651" s="21" t="s">
        <v>881</v>
      </c>
      <c r="B651" s="21" t="s">
        <v>927</v>
      </c>
      <c r="C651" s="21" t="s">
        <v>319</v>
      </c>
      <c r="D651" s="21">
        <v>17</v>
      </c>
      <c r="E651" s="21" t="s">
        <v>299</v>
      </c>
      <c r="F651" s="21" t="s">
        <v>300</v>
      </c>
      <c r="G651" s="21" t="s">
        <v>972</v>
      </c>
      <c r="H651" s="40">
        <v>0</v>
      </c>
      <c r="I651" s="40">
        <v>1719.95</v>
      </c>
      <c r="J651" s="40">
        <v>1348138.4</v>
      </c>
      <c r="K651" s="21"/>
    </row>
    <row r="652" ht="97.2" hidden="1" spans="1:11">
      <c r="A652" s="21" t="s">
        <v>881</v>
      </c>
      <c r="B652" s="21" t="s">
        <v>927</v>
      </c>
      <c r="C652" s="21" t="s">
        <v>319</v>
      </c>
      <c r="D652" s="21">
        <v>17</v>
      </c>
      <c r="E652" s="21" t="s">
        <v>299</v>
      </c>
      <c r="F652" s="21" t="s">
        <v>300</v>
      </c>
      <c r="G652" s="21" t="s">
        <v>973</v>
      </c>
      <c r="H652" s="40">
        <v>0</v>
      </c>
      <c r="I652" s="40">
        <v>1275</v>
      </c>
      <c r="J652" s="40">
        <v>1346863.4</v>
      </c>
      <c r="K652" s="21"/>
    </row>
    <row r="653" ht="97.2" hidden="1" spans="1:11">
      <c r="A653" s="21" t="s">
        <v>881</v>
      </c>
      <c r="B653" s="21" t="s">
        <v>927</v>
      </c>
      <c r="C653" s="21" t="s">
        <v>319</v>
      </c>
      <c r="D653" s="21">
        <v>17</v>
      </c>
      <c r="E653" s="21" t="s">
        <v>299</v>
      </c>
      <c r="F653" s="21" t="s">
        <v>300</v>
      </c>
      <c r="G653" s="21" t="s">
        <v>974</v>
      </c>
      <c r="H653" s="40">
        <v>0</v>
      </c>
      <c r="I653" s="40">
        <v>2400</v>
      </c>
      <c r="J653" s="40">
        <v>1344463.4</v>
      </c>
      <c r="K653" s="21"/>
    </row>
    <row r="654" ht="97.2" hidden="1" spans="1:11">
      <c r="A654" s="21" t="s">
        <v>881</v>
      </c>
      <c r="B654" s="21" t="s">
        <v>927</v>
      </c>
      <c r="C654" s="21" t="s">
        <v>319</v>
      </c>
      <c r="D654" s="21">
        <v>17</v>
      </c>
      <c r="E654" s="21" t="s">
        <v>299</v>
      </c>
      <c r="F654" s="21" t="s">
        <v>300</v>
      </c>
      <c r="G654" s="21" t="s">
        <v>975</v>
      </c>
      <c r="H654" s="40">
        <v>0</v>
      </c>
      <c r="I654" s="40">
        <v>583</v>
      </c>
      <c r="J654" s="40">
        <v>1343880.4</v>
      </c>
      <c r="K654" s="21"/>
    </row>
    <row r="655" ht="97.2" hidden="1" spans="1:11">
      <c r="A655" s="21" t="s">
        <v>881</v>
      </c>
      <c r="B655" s="21" t="s">
        <v>927</v>
      </c>
      <c r="C655" s="21" t="s">
        <v>319</v>
      </c>
      <c r="D655" s="21">
        <v>17</v>
      </c>
      <c r="E655" s="21" t="s">
        <v>299</v>
      </c>
      <c r="F655" s="21" t="s">
        <v>300</v>
      </c>
      <c r="G655" s="21" t="s">
        <v>565</v>
      </c>
      <c r="H655" s="40">
        <v>0</v>
      </c>
      <c r="I655" s="40">
        <v>1123.79</v>
      </c>
      <c r="J655" s="40">
        <v>1342756.61</v>
      </c>
      <c r="K655" s="21"/>
    </row>
    <row r="656" ht="97.2" hidden="1" spans="1:11">
      <c r="A656" s="21" t="s">
        <v>881</v>
      </c>
      <c r="B656" s="21" t="s">
        <v>927</v>
      </c>
      <c r="C656" s="21" t="s">
        <v>319</v>
      </c>
      <c r="D656" s="21">
        <v>17</v>
      </c>
      <c r="E656" s="21" t="s">
        <v>299</v>
      </c>
      <c r="F656" s="21" t="s">
        <v>300</v>
      </c>
      <c r="G656" s="21" t="s">
        <v>566</v>
      </c>
      <c r="H656" s="40">
        <v>0</v>
      </c>
      <c r="I656" s="40">
        <v>786.16</v>
      </c>
      <c r="J656" s="40">
        <v>1341970.45</v>
      </c>
      <c r="K656" s="21"/>
    </row>
    <row r="657" ht="97.2" hidden="1" spans="1:11">
      <c r="A657" s="21" t="s">
        <v>881</v>
      </c>
      <c r="B657" s="21" t="s">
        <v>927</v>
      </c>
      <c r="C657" s="21" t="s">
        <v>319</v>
      </c>
      <c r="D657" s="21">
        <v>17</v>
      </c>
      <c r="E657" s="21" t="s">
        <v>299</v>
      </c>
      <c r="F657" s="21" t="s">
        <v>300</v>
      </c>
      <c r="G657" s="21" t="s">
        <v>567</v>
      </c>
      <c r="H657" s="40">
        <v>0</v>
      </c>
      <c r="I657" s="40">
        <v>500</v>
      </c>
      <c r="J657" s="40">
        <v>1341470.45</v>
      </c>
      <c r="K657" s="21"/>
    </row>
    <row r="658" ht="97.2" hidden="1" spans="1:11">
      <c r="A658" s="21" t="s">
        <v>881</v>
      </c>
      <c r="B658" s="21" t="s">
        <v>927</v>
      </c>
      <c r="C658" s="21" t="s">
        <v>319</v>
      </c>
      <c r="D658" s="21">
        <v>17</v>
      </c>
      <c r="E658" s="21" t="s">
        <v>299</v>
      </c>
      <c r="F658" s="21" t="s">
        <v>300</v>
      </c>
      <c r="G658" s="21" t="s">
        <v>976</v>
      </c>
      <c r="H658" s="40">
        <v>0</v>
      </c>
      <c r="I658" s="40">
        <v>5165.05</v>
      </c>
      <c r="J658" s="40">
        <v>1336305.4</v>
      </c>
      <c r="K658" s="21"/>
    </row>
    <row r="659" ht="97.2" hidden="1" spans="1:11">
      <c r="A659" s="21" t="s">
        <v>881</v>
      </c>
      <c r="B659" s="21" t="s">
        <v>927</v>
      </c>
      <c r="C659" s="21" t="s">
        <v>319</v>
      </c>
      <c r="D659" s="21">
        <v>17</v>
      </c>
      <c r="E659" s="21" t="s">
        <v>299</v>
      </c>
      <c r="F659" s="21" t="s">
        <v>300</v>
      </c>
      <c r="G659" s="21" t="s">
        <v>977</v>
      </c>
      <c r="H659" s="40">
        <v>0</v>
      </c>
      <c r="I659" s="40">
        <v>150</v>
      </c>
      <c r="J659" s="40">
        <v>1336155.4</v>
      </c>
      <c r="K659" s="21"/>
    </row>
    <row r="660" ht="97.2" hidden="1" spans="1:11">
      <c r="A660" s="21" t="s">
        <v>881</v>
      </c>
      <c r="B660" s="21" t="s">
        <v>927</v>
      </c>
      <c r="C660" s="21" t="s">
        <v>319</v>
      </c>
      <c r="D660" s="21">
        <v>17</v>
      </c>
      <c r="E660" s="21" t="s">
        <v>299</v>
      </c>
      <c r="F660" s="21" t="s">
        <v>300</v>
      </c>
      <c r="G660" s="21" t="s">
        <v>978</v>
      </c>
      <c r="H660" s="40">
        <v>0</v>
      </c>
      <c r="I660" s="40">
        <v>1056</v>
      </c>
      <c r="J660" s="40">
        <v>1335099.4</v>
      </c>
      <c r="K660" s="21"/>
    </row>
    <row r="661" ht="97.2" hidden="1" spans="1:11">
      <c r="A661" s="21" t="s">
        <v>881</v>
      </c>
      <c r="B661" s="21" t="s">
        <v>927</v>
      </c>
      <c r="C661" s="21" t="s">
        <v>319</v>
      </c>
      <c r="D661" s="21">
        <v>17</v>
      </c>
      <c r="E661" s="21" t="s">
        <v>299</v>
      </c>
      <c r="F661" s="21" t="s">
        <v>300</v>
      </c>
      <c r="G661" s="21" t="s">
        <v>979</v>
      </c>
      <c r="H661" s="40">
        <v>0</v>
      </c>
      <c r="I661" s="40">
        <v>93.75</v>
      </c>
      <c r="J661" s="40">
        <v>1335005.65</v>
      </c>
      <c r="K661" s="21"/>
    </row>
    <row r="662" ht="97.2" hidden="1" spans="1:11">
      <c r="A662" s="21" t="s">
        <v>881</v>
      </c>
      <c r="B662" s="21" t="s">
        <v>927</v>
      </c>
      <c r="C662" s="21" t="s">
        <v>319</v>
      </c>
      <c r="D662" s="21">
        <v>17</v>
      </c>
      <c r="E662" s="21" t="s">
        <v>299</v>
      </c>
      <c r="F662" s="21" t="s">
        <v>300</v>
      </c>
      <c r="G662" s="21" t="s">
        <v>980</v>
      </c>
      <c r="H662" s="40">
        <v>0</v>
      </c>
      <c r="I662" s="40">
        <v>1336.48</v>
      </c>
      <c r="J662" s="40">
        <v>1333669.17</v>
      </c>
      <c r="K662" s="21"/>
    </row>
    <row r="663" ht="97.2" hidden="1" spans="1:11">
      <c r="A663" s="21" t="s">
        <v>881</v>
      </c>
      <c r="B663" s="21" t="s">
        <v>927</v>
      </c>
      <c r="C663" s="21" t="s">
        <v>319</v>
      </c>
      <c r="D663" s="21">
        <v>17</v>
      </c>
      <c r="E663" s="21" t="s">
        <v>299</v>
      </c>
      <c r="F663" s="21" t="s">
        <v>300</v>
      </c>
      <c r="G663" s="21" t="s">
        <v>981</v>
      </c>
      <c r="H663" s="40">
        <v>0</v>
      </c>
      <c r="I663" s="40">
        <v>679.2</v>
      </c>
      <c r="J663" s="40">
        <v>1332989.97</v>
      </c>
      <c r="K663" s="21"/>
    </row>
    <row r="664" ht="97.2" hidden="1" spans="1:11">
      <c r="A664" s="21" t="s">
        <v>881</v>
      </c>
      <c r="B664" s="21" t="s">
        <v>927</v>
      </c>
      <c r="C664" s="21" t="s">
        <v>319</v>
      </c>
      <c r="D664" s="21">
        <v>17</v>
      </c>
      <c r="E664" s="21" t="s">
        <v>299</v>
      </c>
      <c r="F664" s="21" t="s">
        <v>300</v>
      </c>
      <c r="G664" s="21" t="s">
        <v>982</v>
      </c>
      <c r="H664" s="40">
        <v>0</v>
      </c>
      <c r="I664" s="40">
        <v>1285.74</v>
      </c>
      <c r="J664" s="40">
        <v>1331704.23</v>
      </c>
      <c r="K664" s="21"/>
    </row>
    <row r="665" ht="97.2" hidden="1" spans="1:11">
      <c r="A665" s="21" t="s">
        <v>881</v>
      </c>
      <c r="B665" s="21" t="s">
        <v>927</v>
      </c>
      <c r="C665" s="21" t="s">
        <v>319</v>
      </c>
      <c r="D665" s="21">
        <v>17</v>
      </c>
      <c r="E665" s="21" t="s">
        <v>299</v>
      </c>
      <c r="F665" s="21" t="s">
        <v>300</v>
      </c>
      <c r="G665" s="21" t="s">
        <v>983</v>
      </c>
      <c r="H665" s="40">
        <v>0</v>
      </c>
      <c r="I665" s="40">
        <v>188.68</v>
      </c>
      <c r="J665" s="40">
        <v>1331515.55</v>
      </c>
      <c r="K665" s="21"/>
    </row>
    <row r="666" ht="97.2" hidden="1" spans="1:11">
      <c r="A666" s="21" t="s">
        <v>881</v>
      </c>
      <c r="B666" s="21" t="s">
        <v>927</v>
      </c>
      <c r="C666" s="21" t="s">
        <v>319</v>
      </c>
      <c r="D666" s="21">
        <v>17</v>
      </c>
      <c r="E666" s="21" t="s">
        <v>299</v>
      </c>
      <c r="F666" s="21" t="s">
        <v>300</v>
      </c>
      <c r="G666" s="21" t="s">
        <v>984</v>
      </c>
      <c r="H666" s="40">
        <v>0</v>
      </c>
      <c r="I666" s="40">
        <v>585.71</v>
      </c>
      <c r="J666" s="40">
        <v>1330929.84</v>
      </c>
      <c r="K666" s="21"/>
    </row>
    <row r="667" ht="97.2" hidden="1" spans="1:11">
      <c r="A667" s="21" t="s">
        <v>881</v>
      </c>
      <c r="B667" s="21" t="s">
        <v>927</v>
      </c>
      <c r="C667" s="21" t="s">
        <v>319</v>
      </c>
      <c r="D667" s="21">
        <v>17</v>
      </c>
      <c r="E667" s="21" t="s">
        <v>299</v>
      </c>
      <c r="F667" s="21" t="s">
        <v>300</v>
      </c>
      <c r="G667" s="21" t="s">
        <v>985</v>
      </c>
      <c r="H667" s="40">
        <v>0</v>
      </c>
      <c r="I667" s="40">
        <v>317.14</v>
      </c>
      <c r="J667" s="40">
        <v>1330612.7</v>
      </c>
      <c r="K667" s="21"/>
    </row>
    <row r="668" ht="97.2" hidden="1" spans="1:11">
      <c r="A668" s="21" t="s">
        <v>881</v>
      </c>
      <c r="B668" s="21" t="s">
        <v>927</v>
      </c>
      <c r="C668" s="21" t="s">
        <v>319</v>
      </c>
      <c r="D668" s="21">
        <v>17</v>
      </c>
      <c r="E668" s="21" t="s">
        <v>299</v>
      </c>
      <c r="F668" s="21" t="s">
        <v>300</v>
      </c>
      <c r="G668" s="21" t="s">
        <v>986</v>
      </c>
      <c r="H668" s="40">
        <v>0</v>
      </c>
      <c r="I668" s="40">
        <v>380</v>
      </c>
      <c r="J668" s="40">
        <v>1330232.7</v>
      </c>
      <c r="K668" s="21"/>
    </row>
    <row r="669" ht="97.2" hidden="1" spans="1:11">
      <c r="A669" s="21" t="s">
        <v>881</v>
      </c>
      <c r="B669" s="21" t="s">
        <v>927</v>
      </c>
      <c r="C669" s="21" t="s">
        <v>319</v>
      </c>
      <c r="D669" s="21">
        <v>17</v>
      </c>
      <c r="E669" s="21" t="s">
        <v>299</v>
      </c>
      <c r="F669" s="21" t="s">
        <v>300</v>
      </c>
      <c r="G669" s="21" t="s">
        <v>987</v>
      </c>
      <c r="H669" s="40">
        <v>0</v>
      </c>
      <c r="I669" s="40">
        <v>487.54</v>
      </c>
      <c r="J669" s="40">
        <v>1329745.16</v>
      </c>
      <c r="K669" s="21"/>
    </row>
    <row r="670" ht="97.2" hidden="1" spans="1:11">
      <c r="A670" s="21" t="s">
        <v>881</v>
      </c>
      <c r="B670" s="21" t="s">
        <v>927</v>
      </c>
      <c r="C670" s="21" t="s">
        <v>319</v>
      </c>
      <c r="D670" s="21">
        <v>17</v>
      </c>
      <c r="E670" s="21" t="s">
        <v>299</v>
      </c>
      <c r="F670" s="21" t="s">
        <v>300</v>
      </c>
      <c r="G670" s="21" t="s">
        <v>988</v>
      </c>
      <c r="H670" s="40">
        <v>0</v>
      </c>
      <c r="I670" s="40">
        <v>254.29</v>
      </c>
      <c r="J670" s="40">
        <v>1329490.87</v>
      </c>
      <c r="K670" s="21"/>
    </row>
    <row r="671" ht="97.2" hidden="1" spans="1:11">
      <c r="A671" s="21" t="s">
        <v>881</v>
      </c>
      <c r="B671" s="21" t="s">
        <v>927</v>
      </c>
      <c r="C671" s="21" t="s">
        <v>319</v>
      </c>
      <c r="D671" s="21">
        <v>17</v>
      </c>
      <c r="E671" s="21" t="s">
        <v>299</v>
      </c>
      <c r="F671" s="21" t="s">
        <v>300</v>
      </c>
      <c r="G671" s="21" t="s">
        <v>989</v>
      </c>
      <c r="H671" s="40">
        <v>0</v>
      </c>
      <c r="I671" s="40">
        <v>716.43</v>
      </c>
      <c r="J671" s="40">
        <v>1328774.44</v>
      </c>
      <c r="K671" s="21"/>
    </row>
    <row r="672" ht="97.2" hidden="1" spans="1:11">
      <c r="A672" s="21" t="s">
        <v>881</v>
      </c>
      <c r="B672" s="21" t="s">
        <v>927</v>
      </c>
      <c r="C672" s="21" t="s">
        <v>319</v>
      </c>
      <c r="D672" s="21">
        <v>17</v>
      </c>
      <c r="E672" s="21" t="s">
        <v>299</v>
      </c>
      <c r="F672" s="21" t="s">
        <v>300</v>
      </c>
      <c r="G672" s="21" t="s">
        <v>990</v>
      </c>
      <c r="H672" s="40">
        <v>0</v>
      </c>
      <c r="I672" s="40">
        <v>323.14</v>
      </c>
      <c r="J672" s="40">
        <v>1328451.3</v>
      </c>
      <c r="K672" s="21"/>
    </row>
    <row r="673" ht="97.2" hidden="1" spans="1:11">
      <c r="A673" s="21" t="s">
        <v>881</v>
      </c>
      <c r="B673" s="21" t="s">
        <v>927</v>
      </c>
      <c r="C673" s="21" t="s">
        <v>319</v>
      </c>
      <c r="D673" s="21">
        <v>17</v>
      </c>
      <c r="E673" s="21" t="s">
        <v>299</v>
      </c>
      <c r="F673" s="21" t="s">
        <v>300</v>
      </c>
      <c r="G673" s="21" t="s">
        <v>991</v>
      </c>
      <c r="H673" s="40">
        <v>0</v>
      </c>
      <c r="I673" s="40">
        <v>250</v>
      </c>
      <c r="J673" s="40">
        <v>1328201.3</v>
      </c>
      <c r="K673" s="21"/>
    </row>
    <row r="674" ht="97.2" hidden="1" spans="1:11">
      <c r="A674" s="21" t="s">
        <v>881</v>
      </c>
      <c r="B674" s="21" t="s">
        <v>927</v>
      </c>
      <c r="C674" s="21" t="s">
        <v>319</v>
      </c>
      <c r="D674" s="21">
        <v>17</v>
      </c>
      <c r="E674" s="21" t="s">
        <v>299</v>
      </c>
      <c r="F674" s="21" t="s">
        <v>300</v>
      </c>
      <c r="G674" s="21" t="s">
        <v>992</v>
      </c>
      <c r="H674" s="40">
        <v>0</v>
      </c>
      <c r="I674" s="40">
        <v>433.33</v>
      </c>
      <c r="J674" s="40">
        <v>1327767.97</v>
      </c>
      <c r="K674" s="21"/>
    </row>
    <row r="675" ht="97.2" hidden="1" spans="1:11">
      <c r="A675" s="21" t="s">
        <v>881</v>
      </c>
      <c r="B675" s="21" t="s">
        <v>927</v>
      </c>
      <c r="C675" s="21" t="s">
        <v>319</v>
      </c>
      <c r="D675" s="21">
        <v>17</v>
      </c>
      <c r="E675" s="21" t="s">
        <v>299</v>
      </c>
      <c r="F675" s="21" t="s">
        <v>300</v>
      </c>
      <c r="G675" s="21" t="s">
        <v>993</v>
      </c>
      <c r="H675" s="40">
        <v>0</v>
      </c>
      <c r="I675" s="40">
        <v>2940</v>
      </c>
      <c r="J675" s="40">
        <v>1324827.97</v>
      </c>
      <c r="K675" s="21"/>
    </row>
    <row r="676" ht="97.2" hidden="1" spans="1:11">
      <c r="A676" s="21" t="s">
        <v>881</v>
      </c>
      <c r="B676" s="21" t="s">
        <v>927</v>
      </c>
      <c r="C676" s="21" t="s">
        <v>319</v>
      </c>
      <c r="D676" s="21">
        <v>17</v>
      </c>
      <c r="E676" s="21" t="s">
        <v>299</v>
      </c>
      <c r="F676" s="21" t="s">
        <v>300</v>
      </c>
      <c r="G676" s="21" t="s">
        <v>994</v>
      </c>
      <c r="H676" s="40">
        <v>0</v>
      </c>
      <c r="I676" s="40">
        <v>2357.14</v>
      </c>
      <c r="J676" s="40">
        <v>1322470.83</v>
      </c>
      <c r="K676" s="21"/>
    </row>
    <row r="677" ht="97.2" hidden="1" spans="1:11">
      <c r="A677" s="21" t="s">
        <v>881</v>
      </c>
      <c r="B677" s="21" t="s">
        <v>927</v>
      </c>
      <c r="C677" s="21" t="s">
        <v>319</v>
      </c>
      <c r="D677" s="21">
        <v>17</v>
      </c>
      <c r="E677" s="21" t="s">
        <v>299</v>
      </c>
      <c r="F677" s="21" t="s">
        <v>300</v>
      </c>
      <c r="G677" s="21" t="s">
        <v>995</v>
      </c>
      <c r="H677" s="40">
        <v>0</v>
      </c>
      <c r="I677" s="40">
        <v>3810</v>
      </c>
      <c r="J677" s="40">
        <v>1318660.83</v>
      </c>
      <c r="K677" s="21"/>
    </row>
    <row r="678" ht="97.2" hidden="1" spans="1:11">
      <c r="A678" s="21" t="s">
        <v>881</v>
      </c>
      <c r="B678" s="21" t="s">
        <v>927</v>
      </c>
      <c r="C678" s="21" t="s">
        <v>319</v>
      </c>
      <c r="D678" s="21">
        <v>17</v>
      </c>
      <c r="E678" s="21" t="s">
        <v>299</v>
      </c>
      <c r="F678" s="21" t="s">
        <v>300</v>
      </c>
      <c r="G678" s="21" t="s">
        <v>854</v>
      </c>
      <c r="H678" s="40">
        <v>0</v>
      </c>
      <c r="I678" s="40">
        <v>3706.67</v>
      </c>
      <c r="J678" s="40">
        <v>1314954.16</v>
      </c>
      <c r="K678" s="21"/>
    </row>
    <row r="679" ht="97.2" hidden="1" spans="1:11">
      <c r="A679" s="21" t="s">
        <v>881</v>
      </c>
      <c r="B679" s="21" t="s">
        <v>927</v>
      </c>
      <c r="C679" s="21" t="s">
        <v>319</v>
      </c>
      <c r="D679" s="21">
        <v>17</v>
      </c>
      <c r="E679" s="21" t="s">
        <v>299</v>
      </c>
      <c r="F679" s="21" t="s">
        <v>300</v>
      </c>
      <c r="G679" s="21" t="s">
        <v>855</v>
      </c>
      <c r="H679" s="40">
        <v>0</v>
      </c>
      <c r="I679" s="40">
        <v>4271.86</v>
      </c>
      <c r="J679" s="40">
        <v>1310682.3</v>
      </c>
      <c r="K679" s="21"/>
    </row>
    <row r="680" ht="97.2" hidden="1" spans="1:11">
      <c r="A680" s="21" t="s">
        <v>881</v>
      </c>
      <c r="B680" s="21" t="s">
        <v>927</v>
      </c>
      <c r="C680" s="21" t="s">
        <v>319</v>
      </c>
      <c r="D680" s="21">
        <v>17</v>
      </c>
      <c r="E680" s="21" t="s">
        <v>299</v>
      </c>
      <c r="F680" s="21" t="s">
        <v>300</v>
      </c>
      <c r="G680" s="21" t="s">
        <v>996</v>
      </c>
      <c r="H680" s="40">
        <v>0</v>
      </c>
      <c r="I680" s="40">
        <v>6160</v>
      </c>
      <c r="J680" s="40">
        <v>1304522.3</v>
      </c>
      <c r="K680" s="21"/>
    </row>
    <row r="681" ht="97.2" hidden="1" spans="1:11">
      <c r="A681" s="21" t="s">
        <v>881</v>
      </c>
      <c r="B681" s="21" t="s">
        <v>927</v>
      </c>
      <c r="C681" s="21" t="s">
        <v>319</v>
      </c>
      <c r="D681" s="21">
        <v>17</v>
      </c>
      <c r="E681" s="21" t="s">
        <v>299</v>
      </c>
      <c r="F681" s="21" t="s">
        <v>300</v>
      </c>
      <c r="G681" s="21" t="s">
        <v>856</v>
      </c>
      <c r="H681" s="40">
        <v>0</v>
      </c>
      <c r="I681" s="40">
        <v>3631.63</v>
      </c>
      <c r="J681" s="40">
        <v>1300890.67</v>
      </c>
      <c r="K681" s="21"/>
    </row>
    <row r="682" ht="97.2" hidden="1" spans="1:11">
      <c r="A682" s="21" t="s">
        <v>881</v>
      </c>
      <c r="B682" s="21" t="s">
        <v>927</v>
      </c>
      <c r="C682" s="21" t="s">
        <v>319</v>
      </c>
      <c r="D682" s="21">
        <v>17</v>
      </c>
      <c r="E682" s="21" t="s">
        <v>299</v>
      </c>
      <c r="F682" s="21" t="s">
        <v>300</v>
      </c>
      <c r="G682" s="21" t="s">
        <v>857</v>
      </c>
      <c r="H682" s="40">
        <v>0</v>
      </c>
      <c r="I682" s="40">
        <v>2842.33</v>
      </c>
      <c r="J682" s="40">
        <v>1298048.34</v>
      </c>
      <c r="K682" s="21"/>
    </row>
    <row r="683" ht="97.2" hidden="1" spans="1:11">
      <c r="A683" s="21" t="s">
        <v>881</v>
      </c>
      <c r="B683" s="21" t="s">
        <v>927</v>
      </c>
      <c r="C683" s="21" t="s">
        <v>319</v>
      </c>
      <c r="D683" s="21">
        <v>17</v>
      </c>
      <c r="E683" s="21" t="s">
        <v>299</v>
      </c>
      <c r="F683" s="21" t="s">
        <v>300</v>
      </c>
      <c r="G683" s="21" t="s">
        <v>997</v>
      </c>
      <c r="H683" s="40">
        <v>0</v>
      </c>
      <c r="I683" s="40">
        <v>1640</v>
      </c>
      <c r="J683" s="40">
        <v>1296408.34</v>
      </c>
      <c r="K683" s="21"/>
    </row>
    <row r="684" ht="97.2" hidden="1" spans="1:11">
      <c r="A684" s="21" t="s">
        <v>881</v>
      </c>
      <c r="B684" s="21" t="s">
        <v>927</v>
      </c>
      <c r="C684" s="21" t="s">
        <v>319</v>
      </c>
      <c r="D684" s="21">
        <v>17</v>
      </c>
      <c r="E684" s="21" t="s">
        <v>299</v>
      </c>
      <c r="F684" s="21" t="s">
        <v>300</v>
      </c>
      <c r="G684" s="21" t="s">
        <v>998</v>
      </c>
      <c r="H684" s="40">
        <v>0</v>
      </c>
      <c r="I684" s="40">
        <v>3091.2</v>
      </c>
      <c r="J684" s="40">
        <v>1293317.14</v>
      </c>
      <c r="K684" s="21"/>
    </row>
    <row r="685" ht="97.2" hidden="1" spans="1:11">
      <c r="A685" s="21" t="s">
        <v>881</v>
      </c>
      <c r="B685" s="21" t="s">
        <v>927</v>
      </c>
      <c r="C685" s="21" t="s">
        <v>319</v>
      </c>
      <c r="D685" s="21">
        <v>17</v>
      </c>
      <c r="E685" s="21" t="s">
        <v>299</v>
      </c>
      <c r="F685" s="21" t="s">
        <v>300</v>
      </c>
      <c r="G685" s="21" t="s">
        <v>999</v>
      </c>
      <c r="H685" s="40">
        <v>0</v>
      </c>
      <c r="I685" s="40">
        <v>582.52</v>
      </c>
      <c r="J685" s="40">
        <v>1292734.62</v>
      </c>
      <c r="K685" s="21"/>
    </row>
    <row r="686" ht="97.2" hidden="1" spans="1:11">
      <c r="A686" s="21" t="s">
        <v>881</v>
      </c>
      <c r="B686" s="21" t="s">
        <v>927</v>
      </c>
      <c r="C686" s="21" t="s">
        <v>319</v>
      </c>
      <c r="D686" s="21">
        <v>17</v>
      </c>
      <c r="E686" s="21" t="s">
        <v>299</v>
      </c>
      <c r="F686" s="21" t="s">
        <v>300</v>
      </c>
      <c r="G686" s="21" t="s">
        <v>1000</v>
      </c>
      <c r="H686" s="40">
        <v>0</v>
      </c>
      <c r="I686" s="40">
        <v>102.24</v>
      </c>
      <c r="J686" s="40">
        <v>1292632.38</v>
      </c>
      <c r="K686" s="21"/>
    </row>
    <row r="687" ht="97.2" hidden="1" spans="1:11">
      <c r="A687" s="21" t="s">
        <v>881</v>
      </c>
      <c r="B687" s="21" t="s">
        <v>927</v>
      </c>
      <c r="C687" s="21" t="s">
        <v>319</v>
      </c>
      <c r="D687" s="21">
        <v>17</v>
      </c>
      <c r="E687" s="21" t="s">
        <v>299</v>
      </c>
      <c r="F687" s="21" t="s">
        <v>300</v>
      </c>
      <c r="G687" s="21" t="s">
        <v>1001</v>
      </c>
      <c r="H687" s="40">
        <v>0</v>
      </c>
      <c r="I687" s="40">
        <v>167.52</v>
      </c>
      <c r="J687" s="40">
        <v>1292464.86</v>
      </c>
      <c r="K687" s="21"/>
    </row>
    <row r="688" ht="97.2" hidden="1" spans="1:11">
      <c r="A688" s="21" t="s">
        <v>881</v>
      </c>
      <c r="B688" s="21" t="s">
        <v>927</v>
      </c>
      <c r="C688" s="21" t="s">
        <v>319</v>
      </c>
      <c r="D688" s="21">
        <v>17</v>
      </c>
      <c r="E688" s="21" t="s">
        <v>299</v>
      </c>
      <c r="F688" s="21" t="s">
        <v>300</v>
      </c>
      <c r="G688" s="21" t="s">
        <v>1002</v>
      </c>
      <c r="H688" s="40">
        <v>0</v>
      </c>
      <c r="I688" s="40">
        <v>403.44</v>
      </c>
      <c r="J688" s="40">
        <v>1292061.42</v>
      </c>
      <c r="K688" s="21"/>
    </row>
    <row r="689" ht="97.2" hidden="1" spans="1:11">
      <c r="A689" s="21" t="s">
        <v>881</v>
      </c>
      <c r="B689" s="21" t="s">
        <v>927</v>
      </c>
      <c r="C689" s="21" t="s">
        <v>319</v>
      </c>
      <c r="D689" s="21">
        <v>17</v>
      </c>
      <c r="E689" s="21" t="s">
        <v>299</v>
      </c>
      <c r="F689" s="21" t="s">
        <v>300</v>
      </c>
      <c r="G689" s="21" t="s">
        <v>1003</v>
      </c>
      <c r="H689" s="40">
        <v>0</v>
      </c>
      <c r="I689" s="40">
        <v>509.4</v>
      </c>
      <c r="J689" s="40">
        <v>1291552.02</v>
      </c>
      <c r="K689" s="21"/>
    </row>
    <row r="690" ht="97.2" hidden="1" spans="1:11">
      <c r="A690" s="21" t="s">
        <v>881</v>
      </c>
      <c r="B690" s="21" t="s">
        <v>927</v>
      </c>
      <c r="C690" s="21" t="s">
        <v>319</v>
      </c>
      <c r="D690" s="21">
        <v>17</v>
      </c>
      <c r="E690" s="21" t="s">
        <v>299</v>
      </c>
      <c r="F690" s="21" t="s">
        <v>300</v>
      </c>
      <c r="G690" s="21" t="s">
        <v>1004</v>
      </c>
      <c r="H690" s="40">
        <v>0</v>
      </c>
      <c r="I690" s="40">
        <v>340.18</v>
      </c>
      <c r="J690" s="40">
        <v>1291211.84</v>
      </c>
      <c r="K690" s="21"/>
    </row>
    <row r="691" ht="97.2" hidden="1" spans="1:11">
      <c r="A691" s="21" t="s">
        <v>881</v>
      </c>
      <c r="B691" s="21" t="s">
        <v>927</v>
      </c>
      <c r="C691" s="21" t="s">
        <v>319</v>
      </c>
      <c r="D691" s="21">
        <v>17</v>
      </c>
      <c r="E691" s="21" t="s">
        <v>299</v>
      </c>
      <c r="F691" s="21" t="s">
        <v>300</v>
      </c>
      <c r="G691" s="21" t="s">
        <v>1005</v>
      </c>
      <c r="H691" s="40">
        <v>0</v>
      </c>
      <c r="I691" s="40">
        <v>28.38</v>
      </c>
      <c r="J691" s="40">
        <v>1291183.46</v>
      </c>
      <c r="K691" s="21"/>
    </row>
    <row r="692" ht="97.2" hidden="1" spans="1:11">
      <c r="A692" s="21" t="s">
        <v>881</v>
      </c>
      <c r="B692" s="21" t="s">
        <v>927</v>
      </c>
      <c r="C692" s="21" t="s">
        <v>319</v>
      </c>
      <c r="D692" s="21">
        <v>17</v>
      </c>
      <c r="E692" s="21" t="s">
        <v>299</v>
      </c>
      <c r="F692" s="21" t="s">
        <v>300</v>
      </c>
      <c r="G692" s="21" t="s">
        <v>1006</v>
      </c>
      <c r="H692" s="40">
        <v>0</v>
      </c>
      <c r="I692" s="40">
        <v>22.68</v>
      </c>
      <c r="J692" s="40">
        <v>1291160.78</v>
      </c>
      <c r="K692" s="21"/>
    </row>
    <row r="693" ht="97.2" hidden="1" spans="1:11">
      <c r="A693" s="21" t="s">
        <v>881</v>
      </c>
      <c r="B693" s="21" t="s">
        <v>927</v>
      </c>
      <c r="C693" s="21" t="s">
        <v>319</v>
      </c>
      <c r="D693" s="21">
        <v>17</v>
      </c>
      <c r="E693" s="21" t="s">
        <v>299</v>
      </c>
      <c r="F693" s="21" t="s">
        <v>300</v>
      </c>
      <c r="G693" s="21" t="s">
        <v>1007</v>
      </c>
      <c r="H693" s="40">
        <v>0</v>
      </c>
      <c r="I693" s="40">
        <v>16.92</v>
      </c>
      <c r="J693" s="40">
        <v>1291143.86</v>
      </c>
      <c r="K693" s="21"/>
    </row>
    <row r="694" ht="97.2" hidden="1" spans="1:11">
      <c r="A694" s="21" t="s">
        <v>881</v>
      </c>
      <c r="B694" s="21" t="s">
        <v>927</v>
      </c>
      <c r="C694" s="21" t="s">
        <v>319</v>
      </c>
      <c r="D694" s="21">
        <v>17</v>
      </c>
      <c r="E694" s="21" t="s">
        <v>299</v>
      </c>
      <c r="F694" s="21" t="s">
        <v>300</v>
      </c>
      <c r="G694" s="21" t="s">
        <v>1008</v>
      </c>
      <c r="H694" s="40">
        <v>0</v>
      </c>
      <c r="I694" s="40">
        <v>135.04</v>
      </c>
      <c r="J694" s="40">
        <v>1291008.82</v>
      </c>
      <c r="K694" s="21"/>
    </row>
    <row r="695" ht="97.2" hidden="1" spans="1:11">
      <c r="A695" s="21" t="s">
        <v>881</v>
      </c>
      <c r="B695" s="21" t="s">
        <v>927</v>
      </c>
      <c r="C695" s="21" t="s">
        <v>319</v>
      </c>
      <c r="D695" s="21">
        <v>17</v>
      </c>
      <c r="E695" s="21" t="s">
        <v>299</v>
      </c>
      <c r="F695" s="21" t="s">
        <v>300</v>
      </c>
      <c r="G695" s="21" t="s">
        <v>1009</v>
      </c>
      <c r="H695" s="40">
        <v>0</v>
      </c>
      <c r="I695" s="40">
        <v>73.5</v>
      </c>
      <c r="J695" s="40">
        <v>1290935.32</v>
      </c>
      <c r="K695" s="21"/>
    </row>
    <row r="696" ht="97.2" hidden="1" spans="1:11">
      <c r="A696" s="21" t="s">
        <v>881</v>
      </c>
      <c r="B696" s="21" t="s">
        <v>927</v>
      </c>
      <c r="C696" s="21" t="s">
        <v>319</v>
      </c>
      <c r="D696" s="21">
        <v>17</v>
      </c>
      <c r="E696" s="21" t="s">
        <v>299</v>
      </c>
      <c r="F696" s="21" t="s">
        <v>300</v>
      </c>
      <c r="G696" s="21" t="s">
        <v>1010</v>
      </c>
      <c r="H696" s="40">
        <v>0</v>
      </c>
      <c r="I696" s="40">
        <v>67.24</v>
      </c>
      <c r="J696" s="40">
        <v>1290868.08</v>
      </c>
      <c r="K696" s="21"/>
    </row>
    <row r="697" ht="97.2" hidden="1" spans="1:11">
      <c r="A697" s="21" t="s">
        <v>881</v>
      </c>
      <c r="B697" s="21" t="s">
        <v>927</v>
      </c>
      <c r="C697" s="21" t="s">
        <v>319</v>
      </c>
      <c r="D697" s="21">
        <v>17</v>
      </c>
      <c r="E697" s="21" t="s">
        <v>299</v>
      </c>
      <c r="F697" s="21" t="s">
        <v>300</v>
      </c>
      <c r="G697" s="21" t="s">
        <v>1011</v>
      </c>
      <c r="H697" s="40">
        <v>0</v>
      </c>
      <c r="I697" s="40">
        <v>2712</v>
      </c>
      <c r="J697" s="40">
        <v>1288156.08</v>
      </c>
      <c r="K697" s="21"/>
    </row>
    <row r="698" ht="97.2" hidden="1" spans="1:11">
      <c r="A698" s="21" t="s">
        <v>881</v>
      </c>
      <c r="B698" s="21" t="s">
        <v>927</v>
      </c>
      <c r="C698" s="21" t="s">
        <v>319</v>
      </c>
      <c r="D698" s="21">
        <v>17</v>
      </c>
      <c r="E698" s="21" t="s">
        <v>299</v>
      </c>
      <c r="F698" s="21" t="s">
        <v>300</v>
      </c>
      <c r="G698" s="21" t="s">
        <v>1012</v>
      </c>
      <c r="H698" s="40">
        <v>0</v>
      </c>
      <c r="I698" s="40">
        <v>500</v>
      </c>
      <c r="J698" s="40">
        <v>1287656.08</v>
      </c>
      <c r="K698" s="21"/>
    </row>
    <row r="699" ht="97.2" hidden="1" spans="1:11">
      <c r="A699" s="21" t="s">
        <v>881</v>
      </c>
      <c r="B699" s="21" t="s">
        <v>927</v>
      </c>
      <c r="C699" s="21" t="s">
        <v>319</v>
      </c>
      <c r="D699" s="21">
        <v>17</v>
      </c>
      <c r="E699" s="21" t="s">
        <v>299</v>
      </c>
      <c r="F699" s="21" t="s">
        <v>300</v>
      </c>
      <c r="G699" s="21" t="s">
        <v>1013</v>
      </c>
      <c r="H699" s="40">
        <v>0</v>
      </c>
      <c r="I699" s="40">
        <v>250</v>
      </c>
      <c r="J699" s="40">
        <v>1287406.08</v>
      </c>
      <c r="K699" s="21"/>
    </row>
    <row r="700" ht="97.2" hidden="1" spans="1:11">
      <c r="A700" s="21" t="s">
        <v>881</v>
      </c>
      <c r="B700" s="21" t="s">
        <v>927</v>
      </c>
      <c r="C700" s="21" t="s">
        <v>319</v>
      </c>
      <c r="D700" s="21">
        <v>17</v>
      </c>
      <c r="E700" s="21" t="s">
        <v>299</v>
      </c>
      <c r="F700" s="21" t="s">
        <v>300</v>
      </c>
      <c r="G700" s="21" t="s">
        <v>1014</v>
      </c>
      <c r="H700" s="40">
        <v>0</v>
      </c>
      <c r="I700" s="40">
        <v>1401.7</v>
      </c>
      <c r="J700" s="40">
        <v>1286004.38</v>
      </c>
      <c r="K700" s="21"/>
    </row>
    <row r="701" ht="97.2" hidden="1" spans="1:11">
      <c r="A701" s="21" t="s">
        <v>881</v>
      </c>
      <c r="B701" s="21" t="s">
        <v>927</v>
      </c>
      <c r="C701" s="21" t="s">
        <v>319</v>
      </c>
      <c r="D701" s="21">
        <v>17</v>
      </c>
      <c r="E701" s="21" t="s">
        <v>299</v>
      </c>
      <c r="F701" s="21" t="s">
        <v>300</v>
      </c>
      <c r="G701" s="21" t="s">
        <v>1015</v>
      </c>
      <c r="H701" s="40">
        <v>0</v>
      </c>
      <c r="I701" s="40">
        <v>2927.6</v>
      </c>
      <c r="J701" s="40">
        <v>1283076.78</v>
      </c>
      <c r="K701" s="21"/>
    </row>
    <row r="702" ht="97.2" hidden="1" spans="1:11">
      <c r="A702" s="21" t="s">
        <v>881</v>
      </c>
      <c r="B702" s="21" t="s">
        <v>927</v>
      </c>
      <c r="C702" s="21" t="s">
        <v>319</v>
      </c>
      <c r="D702" s="21">
        <v>17</v>
      </c>
      <c r="E702" s="21" t="s">
        <v>299</v>
      </c>
      <c r="F702" s="21" t="s">
        <v>300</v>
      </c>
      <c r="G702" s="21" t="s">
        <v>1016</v>
      </c>
      <c r="H702" s="40">
        <v>0</v>
      </c>
      <c r="I702" s="40">
        <v>10976.88</v>
      </c>
      <c r="J702" s="40">
        <v>1272099.9</v>
      </c>
      <c r="K702" s="21"/>
    </row>
    <row r="703" ht="97.2" hidden="1" spans="1:11">
      <c r="A703" s="21" t="s">
        <v>881</v>
      </c>
      <c r="B703" s="21" t="s">
        <v>927</v>
      </c>
      <c r="C703" s="21" t="s">
        <v>319</v>
      </c>
      <c r="D703" s="21">
        <v>17</v>
      </c>
      <c r="E703" s="21" t="s">
        <v>299</v>
      </c>
      <c r="F703" s="21" t="s">
        <v>300</v>
      </c>
      <c r="G703" s="21" t="s">
        <v>1017</v>
      </c>
      <c r="H703" s="40">
        <v>0</v>
      </c>
      <c r="I703" s="40">
        <v>9200</v>
      </c>
      <c r="J703" s="40">
        <v>1262899.9</v>
      </c>
      <c r="K703" s="21"/>
    </row>
    <row r="704" ht="97.2" hidden="1" spans="1:11">
      <c r="A704" s="21" t="s">
        <v>881</v>
      </c>
      <c r="B704" s="21" t="s">
        <v>927</v>
      </c>
      <c r="C704" s="21" t="s">
        <v>319</v>
      </c>
      <c r="D704" s="21">
        <v>17</v>
      </c>
      <c r="E704" s="21" t="s">
        <v>299</v>
      </c>
      <c r="F704" s="21" t="s">
        <v>300</v>
      </c>
      <c r="G704" s="21" t="s">
        <v>1018</v>
      </c>
      <c r="H704" s="40">
        <v>0</v>
      </c>
      <c r="I704" s="40">
        <v>285.8</v>
      </c>
      <c r="J704" s="40">
        <v>1262614.1</v>
      </c>
      <c r="K704" s="21"/>
    </row>
    <row r="705" ht="97.2" hidden="1" spans="1:11">
      <c r="A705" s="21" t="s">
        <v>881</v>
      </c>
      <c r="B705" s="21" t="s">
        <v>927</v>
      </c>
      <c r="C705" s="21" t="s">
        <v>319</v>
      </c>
      <c r="D705" s="21">
        <v>17</v>
      </c>
      <c r="E705" s="21" t="s">
        <v>299</v>
      </c>
      <c r="F705" s="21" t="s">
        <v>300</v>
      </c>
      <c r="G705" s="21" t="s">
        <v>1019</v>
      </c>
      <c r="H705" s="40">
        <v>0</v>
      </c>
      <c r="I705" s="40">
        <v>967.4</v>
      </c>
      <c r="J705" s="40">
        <v>1261646.7</v>
      </c>
      <c r="K705" s="21"/>
    </row>
    <row r="706" ht="97.2" hidden="1" spans="1:11">
      <c r="A706" s="21" t="s">
        <v>881</v>
      </c>
      <c r="B706" s="21" t="s">
        <v>927</v>
      </c>
      <c r="C706" s="21" t="s">
        <v>319</v>
      </c>
      <c r="D706" s="21">
        <v>17</v>
      </c>
      <c r="E706" s="21" t="s">
        <v>299</v>
      </c>
      <c r="F706" s="21" t="s">
        <v>300</v>
      </c>
      <c r="G706" s="21" t="s">
        <v>1020</v>
      </c>
      <c r="H706" s="40">
        <v>0</v>
      </c>
      <c r="I706" s="40">
        <v>6490.31</v>
      </c>
      <c r="J706" s="40">
        <v>1255156.39</v>
      </c>
      <c r="K706" s="21"/>
    </row>
    <row r="707" ht="97.2" hidden="1" spans="1:11">
      <c r="A707" s="21" t="s">
        <v>881</v>
      </c>
      <c r="B707" s="21" t="s">
        <v>927</v>
      </c>
      <c r="C707" s="21" t="s">
        <v>319</v>
      </c>
      <c r="D707" s="21">
        <v>17</v>
      </c>
      <c r="E707" s="21" t="s">
        <v>299</v>
      </c>
      <c r="F707" s="21" t="s">
        <v>300</v>
      </c>
      <c r="G707" s="21" t="s">
        <v>1021</v>
      </c>
      <c r="H707" s="40">
        <v>0</v>
      </c>
      <c r="I707" s="40">
        <v>14644.6</v>
      </c>
      <c r="J707" s="40">
        <v>1240511.79</v>
      </c>
      <c r="K707" s="21"/>
    </row>
    <row r="708" ht="97.2" hidden="1" spans="1:11">
      <c r="A708" s="21" t="s">
        <v>881</v>
      </c>
      <c r="B708" s="21" t="s">
        <v>927</v>
      </c>
      <c r="C708" s="21" t="s">
        <v>319</v>
      </c>
      <c r="D708" s="21">
        <v>17</v>
      </c>
      <c r="E708" s="21" t="s">
        <v>299</v>
      </c>
      <c r="F708" s="21" t="s">
        <v>300</v>
      </c>
      <c r="G708" s="21" t="s">
        <v>1022</v>
      </c>
      <c r="H708" s="40">
        <v>0</v>
      </c>
      <c r="I708" s="40">
        <v>1382.69</v>
      </c>
      <c r="J708" s="40">
        <v>1239129.1</v>
      </c>
      <c r="K708" s="21"/>
    </row>
    <row r="709" ht="97.2" hidden="1" spans="1:11">
      <c r="A709" s="21" t="s">
        <v>881</v>
      </c>
      <c r="B709" s="21" t="s">
        <v>927</v>
      </c>
      <c r="C709" s="21" t="s">
        <v>319</v>
      </c>
      <c r="D709" s="21">
        <v>17</v>
      </c>
      <c r="E709" s="21" t="s">
        <v>299</v>
      </c>
      <c r="F709" s="21" t="s">
        <v>300</v>
      </c>
      <c r="G709" s="21" t="s">
        <v>1023</v>
      </c>
      <c r="H709" s="40">
        <v>0</v>
      </c>
      <c r="I709" s="40">
        <v>1766.67</v>
      </c>
      <c r="J709" s="40">
        <v>1237362.43</v>
      </c>
      <c r="K709" s="21"/>
    </row>
    <row r="710" ht="97.2" hidden="1" spans="1:11">
      <c r="A710" s="21" t="s">
        <v>881</v>
      </c>
      <c r="B710" s="21" t="s">
        <v>927</v>
      </c>
      <c r="C710" s="21" t="s">
        <v>319</v>
      </c>
      <c r="D710" s="21">
        <v>17</v>
      </c>
      <c r="E710" s="21" t="s">
        <v>299</v>
      </c>
      <c r="F710" s="21" t="s">
        <v>300</v>
      </c>
      <c r="G710" s="21" t="s">
        <v>1024</v>
      </c>
      <c r="H710" s="40">
        <v>0</v>
      </c>
      <c r="I710" s="40">
        <v>240</v>
      </c>
      <c r="J710" s="40">
        <v>1237122.43</v>
      </c>
      <c r="K710" s="21"/>
    </row>
    <row r="711" ht="97.2" hidden="1" spans="1:11">
      <c r="A711" s="21" t="s">
        <v>881</v>
      </c>
      <c r="B711" s="21" t="s">
        <v>927</v>
      </c>
      <c r="C711" s="21" t="s">
        <v>319</v>
      </c>
      <c r="D711" s="21">
        <v>17</v>
      </c>
      <c r="E711" s="21" t="s">
        <v>299</v>
      </c>
      <c r="F711" s="21" t="s">
        <v>300</v>
      </c>
      <c r="G711" s="21" t="s">
        <v>1025</v>
      </c>
      <c r="H711" s="40">
        <v>0</v>
      </c>
      <c r="I711" s="40">
        <v>1560</v>
      </c>
      <c r="J711" s="40">
        <v>1235562.43</v>
      </c>
      <c r="K711" s="21"/>
    </row>
    <row r="712" ht="97.2" hidden="1" spans="1:11">
      <c r="A712" s="21" t="s">
        <v>881</v>
      </c>
      <c r="B712" s="21" t="s">
        <v>927</v>
      </c>
      <c r="C712" s="21" t="s">
        <v>319</v>
      </c>
      <c r="D712" s="21">
        <v>17</v>
      </c>
      <c r="E712" s="21" t="s">
        <v>299</v>
      </c>
      <c r="F712" s="21" t="s">
        <v>300</v>
      </c>
      <c r="G712" s="21" t="s">
        <v>1026</v>
      </c>
      <c r="H712" s="40">
        <v>0</v>
      </c>
      <c r="I712" s="40">
        <v>700</v>
      </c>
      <c r="J712" s="40">
        <v>1234862.43</v>
      </c>
      <c r="K712" s="21"/>
    </row>
    <row r="713" ht="97.2" hidden="1" spans="1:11">
      <c r="A713" s="21" t="s">
        <v>881</v>
      </c>
      <c r="B713" s="21" t="s">
        <v>927</v>
      </c>
      <c r="C713" s="21" t="s">
        <v>319</v>
      </c>
      <c r="D713" s="21">
        <v>17</v>
      </c>
      <c r="E713" s="21" t="s">
        <v>299</v>
      </c>
      <c r="F713" s="21" t="s">
        <v>300</v>
      </c>
      <c r="G713" s="21" t="s">
        <v>1027</v>
      </c>
      <c r="H713" s="40">
        <v>0</v>
      </c>
      <c r="I713" s="40">
        <v>970</v>
      </c>
      <c r="J713" s="40">
        <v>1233892.43</v>
      </c>
      <c r="K713" s="21"/>
    </row>
    <row r="714" ht="97.2" hidden="1" spans="1:11">
      <c r="A714" s="21" t="s">
        <v>881</v>
      </c>
      <c r="B714" s="21" t="s">
        <v>927</v>
      </c>
      <c r="C714" s="21" t="s">
        <v>319</v>
      </c>
      <c r="D714" s="21">
        <v>17</v>
      </c>
      <c r="E714" s="21" t="s">
        <v>299</v>
      </c>
      <c r="F714" s="21" t="s">
        <v>300</v>
      </c>
      <c r="G714" s="21" t="s">
        <v>1028</v>
      </c>
      <c r="H714" s="40">
        <v>0</v>
      </c>
      <c r="I714" s="40">
        <v>278.63</v>
      </c>
      <c r="J714" s="40">
        <v>1233613.8</v>
      </c>
      <c r="K714" s="21"/>
    </row>
    <row r="715" ht="97.2" hidden="1" spans="1:11">
      <c r="A715" s="21" t="s">
        <v>881</v>
      </c>
      <c r="B715" s="21" t="s">
        <v>927</v>
      </c>
      <c r="C715" s="21" t="s">
        <v>319</v>
      </c>
      <c r="D715" s="21">
        <v>17</v>
      </c>
      <c r="E715" s="21" t="s">
        <v>299</v>
      </c>
      <c r="F715" s="21" t="s">
        <v>300</v>
      </c>
      <c r="G715" s="21" t="s">
        <v>1029</v>
      </c>
      <c r="H715" s="40">
        <v>0</v>
      </c>
      <c r="I715" s="40">
        <v>224.62</v>
      </c>
      <c r="J715" s="40">
        <v>1233389.18</v>
      </c>
      <c r="K715" s="21"/>
    </row>
    <row r="716" ht="97.2" hidden="1" spans="1:11">
      <c r="A716" s="21" t="s">
        <v>881</v>
      </c>
      <c r="B716" s="21" t="s">
        <v>927</v>
      </c>
      <c r="C716" s="21" t="s">
        <v>319</v>
      </c>
      <c r="D716" s="21">
        <v>17</v>
      </c>
      <c r="E716" s="21" t="s">
        <v>299</v>
      </c>
      <c r="F716" s="21" t="s">
        <v>300</v>
      </c>
      <c r="G716" s="21" t="s">
        <v>1030</v>
      </c>
      <c r="H716" s="40">
        <v>0</v>
      </c>
      <c r="I716" s="40">
        <v>252.72</v>
      </c>
      <c r="J716" s="40">
        <v>1233136.46</v>
      </c>
      <c r="K716" s="21"/>
    </row>
    <row r="717" ht="97.2" hidden="1" spans="1:11">
      <c r="A717" s="21" t="s">
        <v>881</v>
      </c>
      <c r="B717" s="21" t="s">
        <v>927</v>
      </c>
      <c r="C717" s="21" t="s">
        <v>319</v>
      </c>
      <c r="D717" s="21">
        <v>17</v>
      </c>
      <c r="E717" s="21" t="s">
        <v>299</v>
      </c>
      <c r="F717" s="21" t="s">
        <v>300</v>
      </c>
      <c r="G717" s="21" t="s">
        <v>1031</v>
      </c>
      <c r="H717" s="40">
        <v>0</v>
      </c>
      <c r="I717" s="40">
        <v>238.77</v>
      </c>
      <c r="J717" s="40">
        <v>1232897.69</v>
      </c>
      <c r="K717" s="21"/>
    </row>
    <row r="718" ht="97.2" hidden="1" spans="1:11">
      <c r="A718" s="21" t="s">
        <v>881</v>
      </c>
      <c r="B718" s="21" t="s">
        <v>927</v>
      </c>
      <c r="C718" s="21" t="s">
        <v>319</v>
      </c>
      <c r="D718" s="21">
        <v>17</v>
      </c>
      <c r="E718" s="21" t="s">
        <v>299</v>
      </c>
      <c r="F718" s="21" t="s">
        <v>300</v>
      </c>
      <c r="G718" s="21" t="s">
        <v>1032</v>
      </c>
      <c r="H718" s="40">
        <v>0</v>
      </c>
      <c r="I718" s="40">
        <v>393.44</v>
      </c>
      <c r="J718" s="40">
        <v>1232504.25</v>
      </c>
      <c r="K718" s="21"/>
    </row>
    <row r="719" ht="97.2" hidden="1" spans="1:11">
      <c r="A719" s="21" t="s">
        <v>881</v>
      </c>
      <c r="B719" s="21" t="s">
        <v>927</v>
      </c>
      <c r="C719" s="21" t="s">
        <v>319</v>
      </c>
      <c r="D719" s="21">
        <v>17</v>
      </c>
      <c r="E719" s="21" t="s">
        <v>299</v>
      </c>
      <c r="F719" s="21" t="s">
        <v>300</v>
      </c>
      <c r="G719" s="21" t="s">
        <v>1033</v>
      </c>
      <c r="H719" s="40">
        <v>0</v>
      </c>
      <c r="I719" s="40">
        <v>528.2</v>
      </c>
      <c r="J719" s="40">
        <v>1231976.05</v>
      </c>
      <c r="K719" s="21"/>
    </row>
    <row r="720" ht="97.2" hidden="1" spans="1:11">
      <c r="A720" s="21" t="s">
        <v>881</v>
      </c>
      <c r="B720" s="21" t="s">
        <v>927</v>
      </c>
      <c r="C720" s="21" t="s">
        <v>319</v>
      </c>
      <c r="D720" s="21">
        <v>17</v>
      </c>
      <c r="E720" s="21" t="s">
        <v>299</v>
      </c>
      <c r="F720" s="21" t="s">
        <v>300</v>
      </c>
      <c r="G720" s="21" t="s">
        <v>1034</v>
      </c>
      <c r="H720" s="40">
        <v>0</v>
      </c>
      <c r="I720" s="40">
        <v>540</v>
      </c>
      <c r="J720" s="40">
        <v>1231436.05</v>
      </c>
      <c r="K720" s="21"/>
    </row>
    <row r="721" ht="97.2" hidden="1" spans="1:11">
      <c r="A721" s="21" t="s">
        <v>881</v>
      </c>
      <c r="B721" s="21" t="s">
        <v>927</v>
      </c>
      <c r="C721" s="21" t="s">
        <v>319</v>
      </c>
      <c r="D721" s="21">
        <v>17</v>
      </c>
      <c r="E721" s="21" t="s">
        <v>299</v>
      </c>
      <c r="F721" s="21" t="s">
        <v>300</v>
      </c>
      <c r="G721" s="21" t="s">
        <v>1035</v>
      </c>
      <c r="H721" s="40">
        <v>0</v>
      </c>
      <c r="I721" s="40">
        <v>6407.01</v>
      </c>
      <c r="J721" s="40">
        <v>1225029.04</v>
      </c>
      <c r="K721" s="21"/>
    </row>
    <row r="722" ht="97.2" hidden="1" spans="1:11">
      <c r="A722" s="21" t="s">
        <v>881</v>
      </c>
      <c r="B722" s="21" t="s">
        <v>927</v>
      </c>
      <c r="C722" s="21" t="s">
        <v>319</v>
      </c>
      <c r="D722" s="21">
        <v>17</v>
      </c>
      <c r="E722" s="21" t="s">
        <v>299</v>
      </c>
      <c r="F722" s="21" t="s">
        <v>300</v>
      </c>
      <c r="G722" s="21" t="s">
        <v>1036</v>
      </c>
      <c r="H722" s="40">
        <v>0</v>
      </c>
      <c r="I722" s="40">
        <v>1570.94</v>
      </c>
      <c r="J722" s="40">
        <v>1223458.1</v>
      </c>
      <c r="K722" s="21"/>
    </row>
    <row r="723" ht="97.2" hidden="1" spans="1:11">
      <c r="A723" s="21" t="s">
        <v>881</v>
      </c>
      <c r="B723" s="21" t="s">
        <v>927</v>
      </c>
      <c r="C723" s="21" t="s">
        <v>319</v>
      </c>
      <c r="D723" s="21">
        <v>17</v>
      </c>
      <c r="E723" s="21" t="s">
        <v>299</v>
      </c>
      <c r="F723" s="21" t="s">
        <v>300</v>
      </c>
      <c r="G723" s="21" t="s">
        <v>1037</v>
      </c>
      <c r="H723" s="40">
        <v>0</v>
      </c>
      <c r="I723" s="40">
        <v>700</v>
      </c>
      <c r="J723" s="40">
        <v>1222758.1</v>
      </c>
      <c r="K723" s="21"/>
    </row>
    <row r="724" ht="97.2" hidden="1" spans="1:11">
      <c r="A724" s="21" t="s">
        <v>881</v>
      </c>
      <c r="B724" s="21" t="s">
        <v>927</v>
      </c>
      <c r="C724" s="21" t="s">
        <v>319</v>
      </c>
      <c r="D724" s="21">
        <v>17</v>
      </c>
      <c r="E724" s="21" t="s">
        <v>299</v>
      </c>
      <c r="F724" s="21" t="s">
        <v>300</v>
      </c>
      <c r="G724" s="21" t="s">
        <v>1038</v>
      </c>
      <c r="H724" s="40">
        <v>0</v>
      </c>
      <c r="I724" s="40">
        <v>2786</v>
      </c>
      <c r="J724" s="40">
        <v>1219972.1</v>
      </c>
      <c r="K724" s="21"/>
    </row>
    <row r="725" ht="97.2" hidden="1" spans="1:11">
      <c r="A725" s="21" t="s">
        <v>881</v>
      </c>
      <c r="B725" s="21" t="s">
        <v>927</v>
      </c>
      <c r="C725" s="21" t="s">
        <v>319</v>
      </c>
      <c r="D725" s="21">
        <v>17</v>
      </c>
      <c r="E725" s="21" t="s">
        <v>299</v>
      </c>
      <c r="F725" s="21" t="s">
        <v>300</v>
      </c>
      <c r="G725" s="21" t="s">
        <v>1039</v>
      </c>
      <c r="H725" s="40">
        <v>0</v>
      </c>
      <c r="I725" s="40">
        <v>707.55</v>
      </c>
      <c r="J725" s="40">
        <v>1219264.55</v>
      </c>
      <c r="K725" s="21"/>
    </row>
    <row r="726" ht="97.2" hidden="1" spans="1:11">
      <c r="A726" s="21" t="s">
        <v>881</v>
      </c>
      <c r="B726" s="21" t="s">
        <v>927</v>
      </c>
      <c r="C726" s="21" t="s">
        <v>319</v>
      </c>
      <c r="D726" s="21">
        <v>17</v>
      </c>
      <c r="E726" s="21" t="s">
        <v>299</v>
      </c>
      <c r="F726" s="21" t="s">
        <v>300</v>
      </c>
      <c r="G726" s="21" t="s">
        <v>1040</v>
      </c>
      <c r="H726" s="40">
        <v>0</v>
      </c>
      <c r="I726" s="40">
        <v>1006.13</v>
      </c>
      <c r="J726" s="40">
        <v>1218258.42</v>
      </c>
      <c r="K726" s="21"/>
    </row>
    <row r="727" ht="97.2" hidden="1" spans="1:11">
      <c r="A727" s="21" t="s">
        <v>881</v>
      </c>
      <c r="B727" s="21" t="s">
        <v>927</v>
      </c>
      <c r="C727" s="21" t="s">
        <v>319</v>
      </c>
      <c r="D727" s="21">
        <v>17</v>
      </c>
      <c r="E727" s="21" t="s">
        <v>299</v>
      </c>
      <c r="F727" s="21" t="s">
        <v>300</v>
      </c>
      <c r="G727" s="21" t="s">
        <v>1041</v>
      </c>
      <c r="H727" s="40">
        <v>0</v>
      </c>
      <c r="I727" s="40">
        <v>5770.54</v>
      </c>
      <c r="J727" s="40">
        <v>1212487.88</v>
      </c>
      <c r="K727" s="21"/>
    </row>
    <row r="728" ht="97.2" hidden="1" spans="1:11">
      <c r="A728" s="21" t="s">
        <v>881</v>
      </c>
      <c r="B728" s="21" t="s">
        <v>927</v>
      </c>
      <c r="C728" s="21" t="s">
        <v>319</v>
      </c>
      <c r="D728" s="21">
        <v>17</v>
      </c>
      <c r="E728" s="21" t="s">
        <v>299</v>
      </c>
      <c r="F728" s="21" t="s">
        <v>300</v>
      </c>
      <c r="G728" s="21" t="s">
        <v>1042</v>
      </c>
      <c r="H728" s="40">
        <v>0</v>
      </c>
      <c r="I728" s="40">
        <v>27506</v>
      </c>
      <c r="J728" s="40">
        <v>1184981.88</v>
      </c>
      <c r="K728" s="21"/>
    </row>
    <row r="729" ht="21.6" hidden="1" spans="1:11">
      <c r="A729" s="21" t="s">
        <v>881</v>
      </c>
      <c r="B729" s="21"/>
      <c r="C729" s="21"/>
      <c r="D729" s="21"/>
      <c r="E729" s="21"/>
      <c r="F729" s="21"/>
      <c r="G729" s="21" t="s">
        <v>361</v>
      </c>
      <c r="H729" s="40">
        <v>244494.07</v>
      </c>
      <c r="I729" s="40">
        <v>304488.19</v>
      </c>
      <c r="J729" s="40">
        <v>1184981.88</v>
      </c>
      <c r="K729" s="21"/>
    </row>
    <row r="730" ht="21.6" hidden="1" spans="1:11">
      <c r="A730" s="21" t="s">
        <v>881</v>
      </c>
      <c r="B730" s="21"/>
      <c r="C730" s="21"/>
      <c r="D730" s="21"/>
      <c r="E730" s="21"/>
      <c r="F730" s="21"/>
      <c r="G730" s="21" t="s">
        <v>362</v>
      </c>
      <c r="H730" s="40">
        <v>2290159.59</v>
      </c>
      <c r="I730" s="40">
        <v>1687844.88</v>
      </c>
      <c r="J730" s="40">
        <v>1184981.88</v>
      </c>
      <c r="K730" s="21"/>
    </row>
    <row r="731" ht="21.6" hidden="1" spans="1:11">
      <c r="A731" s="21" t="s">
        <v>1043</v>
      </c>
      <c r="B731" s="21"/>
      <c r="C731" s="21"/>
      <c r="D731" s="21"/>
      <c r="E731" s="21"/>
      <c r="F731" s="21"/>
      <c r="G731" s="21" t="s">
        <v>296</v>
      </c>
      <c r="H731" s="21"/>
      <c r="I731" s="21"/>
      <c r="J731" s="40">
        <v>1184981.88</v>
      </c>
      <c r="K731" s="21"/>
    </row>
    <row r="732" ht="64.8" hidden="1" spans="1:11">
      <c r="A732" s="21" t="s">
        <v>1043</v>
      </c>
      <c r="B732" s="21" t="s">
        <v>1044</v>
      </c>
      <c r="C732" s="21" t="s">
        <v>298</v>
      </c>
      <c r="D732" s="21">
        <v>3</v>
      </c>
      <c r="E732" s="21" t="s">
        <v>299</v>
      </c>
      <c r="F732" s="21" t="s">
        <v>300</v>
      </c>
      <c r="G732" s="21" t="s">
        <v>1045</v>
      </c>
      <c r="H732" s="40">
        <v>3892.4</v>
      </c>
      <c r="I732" s="40">
        <v>0</v>
      </c>
      <c r="J732" s="40">
        <v>1188874.28</v>
      </c>
      <c r="K732" s="21"/>
    </row>
    <row r="733" ht="64.8" hidden="1" spans="1:11">
      <c r="A733" s="21" t="s">
        <v>1043</v>
      </c>
      <c r="B733" s="21" t="s">
        <v>1044</v>
      </c>
      <c r="C733" s="21" t="s">
        <v>298</v>
      </c>
      <c r="D733" s="21">
        <v>3</v>
      </c>
      <c r="E733" s="21" t="s">
        <v>299</v>
      </c>
      <c r="F733" s="21" t="s">
        <v>300</v>
      </c>
      <c r="G733" s="21" t="s">
        <v>1046</v>
      </c>
      <c r="H733" s="40">
        <v>66666.67</v>
      </c>
      <c r="I733" s="40">
        <v>0</v>
      </c>
      <c r="J733" s="40">
        <v>1255540.95</v>
      </c>
      <c r="K733" s="21"/>
    </row>
    <row r="734" ht="64.8" hidden="1" spans="1:11">
      <c r="A734" s="21" t="s">
        <v>1043</v>
      </c>
      <c r="B734" s="21" t="s">
        <v>1047</v>
      </c>
      <c r="C734" s="21" t="s">
        <v>298</v>
      </c>
      <c r="D734" s="21">
        <v>6</v>
      </c>
      <c r="E734" s="21" t="s">
        <v>299</v>
      </c>
      <c r="F734" s="21" t="s">
        <v>300</v>
      </c>
      <c r="G734" s="21" t="s">
        <v>1048</v>
      </c>
      <c r="H734" s="40">
        <v>16020</v>
      </c>
      <c r="I734" s="40">
        <v>0</v>
      </c>
      <c r="J734" s="40">
        <v>1271560.95</v>
      </c>
      <c r="K734" s="21"/>
    </row>
    <row r="735" ht="64.8" hidden="1" spans="1:11">
      <c r="A735" s="21" t="s">
        <v>1043</v>
      </c>
      <c r="B735" s="21" t="s">
        <v>1049</v>
      </c>
      <c r="C735" s="21" t="s">
        <v>298</v>
      </c>
      <c r="D735" s="21">
        <v>7</v>
      </c>
      <c r="E735" s="21" t="s">
        <v>299</v>
      </c>
      <c r="F735" s="21" t="s">
        <v>300</v>
      </c>
      <c r="G735" s="21" t="s">
        <v>1050</v>
      </c>
      <c r="H735" s="40">
        <v>669</v>
      </c>
      <c r="I735" s="40">
        <v>0</v>
      </c>
      <c r="J735" s="40">
        <v>1272229.95</v>
      </c>
      <c r="K735" s="21"/>
    </row>
    <row r="736" ht="64.8" hidden="1" spans="1:11">
      <c r="A736" s="21" t="s">
        <v>1043</v>
      </c>
      <c r="B736" s="21" t="s">
        <v>1049</v>
      </c>
      <c r="C736" s="21" t="s">
        <v>298</v>
      </c>
      <c r="D736" s="21">
        <v>7</v>
      </c>
      <c r="E736" s="21" t="s">
        <v>299</v>
      </c>
      <c r="F736" s="21" t="s">
        <v>300</v>
      </c>
      <c r="G736" s="21" t="s">
        <v>1051</v>
      </c>
      <c r="H736" s="40">
        <v>2910</v>
      </c>
      <c r="I736" s="40">
        <v>0</v>
      </c>
      <c r="J736" s="40">
        <v>1275139.95</v>
      </c>
      <c r="K736" s="21"/>
    </row>
    <row r="737" ht="64.8" hidden="1" spans="1:11">
      <c r="A737" s="21" t="s">
        <v>1043</v>
      </c>
      <c r="B737" s="21" t="s">
        <v>1049</v>
      </c>
      <c r="C737" s="21" t="s">
        <v>298</v>
      </c>
      <c r="D737" s="21">
        <v>7</v>
      </c>
      <c r="E737" s="21" t="s">
        <v>299</v>
      </c>
      <c r="F737" s="21" t="s">
        <v>300</v>
      </c>
      <c r="G737" s="21" t="s">
        <v>1052</v>
      </c>
      <c r="H737" s="40">
        <v>7980</v>
      </c>
      <c r="I737" s="40">
        <v>0</v>
      </c>
      <c r="J737" s="40">
        <v>1283119.95</v>
      </c>
      <c r="K737" s="21"/>
    </row>
    <row r="738" ht="64.8" hidden="1" spans="1:11">
      <c r="A738" s="21" t="s">
        <v>1043</v>
      </c>
      <c r="B738" s="21" t="s">
        <v>1053</v>
      </c>
      <c r="C738" s="21" t="s">
        <v>298</v>
      </c>
      <c r="D738" s="21">
        <v>8</v>
      </c>
      <c r="E738" s="21" t="s">
        <v>299</v>
      </c>
      <c r="F738" s="21" t="s">
        <v>300</v>
      </c>
      <c r="G738" s="21" t="s">
        <v>1054</v>
      </c>
      <c r="H738" s="40">
        <v>20090</v>
      </c>
      <c r="I738" s="40">
        <v>0</v>
      </c>
      <c r="J738" s="40">
        <v>1303209.95</v>
      </c>
      <c r="K738" s="21"/>
    </row>
    <row r="739" ht="64.8" hidden="1" spans="1:11">
      <c r="A739" s="21" t="s">
        <v>1043</v>
      </c>
      <c r="B739" s="21" t="s">
        <v>1053</v>
      </c>
      <c r="C739" s="21" t="s">
        <v>298</v>
      </c>
      <c r="D739" s="21">
        <v>8</v>
      </c>
      <c r="E739" s="21" t="s">
        <v>299</v>
      </c>
      <c r="F739" s="21" t="s">
        <v>300</v>
      </c>
      <c r="G739" s="21" t="s">
        <v>1055</v>
      </c>
      <c r="H739" s="40">
        <v>200</v>
      </c>
      <c r="I739" s="40">
        <v>0</v>
      </c>
      <c r="J739" s="40">
        <v>1303409.95</v>
      </c>
      <c r="K739" s="21"/>
    </row>
    <row r="740" ht="64.8" hidden="1" spans="1:11">
      <c r="A740" s="21" t="s">
        <v>1043</v>
      </c>
      <c r="B740" s="21" t="s">
        <v>1053</v>
      </c>
      <c r="C740" s="21" t="s">
        <v>298</v>
      </c>
      <c r="D740" s="21">
        <v>8</v>
      </c>
      <c r="E740" s="21" t="s">
        <v>299</v>
      </c>
      <c r="F740" s="21" t="s">
        <v>300</v>
      </c>
      <c r="G740" s="21" t="s">
        <v>1056</v>
      </c>
      <c r="H740" s="40">
        <v>800</v>
      </c>
      <c r="I740" s="40">
        <v>0</v>
      </c>
      <c r="J740" s="40">
        <v>1304209.95</v>
      </c>
      <c r="K740" s="21"/>
    </row>
    <row r="741" ht="64.8" hidden="1" spans="1:11">
      <c r="A741" s="21" t="s">
        <v>1043</v>
      </c>
      <c r="B741" s="21" t="s">
        <v>1053</v>
      </c>
      <c r="C741" s="21" t="s">
        <v>298</v>
      </c>
      <c r="D741" s="21">
        <v>8</v>
      </c>
      <c r="E741" s="21" t="s">
        <v>299</v>
      </c>
      <c r="F741" s="21" t="s">
        <v>300</v>
      </c>
      <c r="G741" s="21" t="s">
        <v>1057</v>
      </c>
      <c r="H741" s="40">
        <v>200</v>
      </c>
      <c r="I741" s="40">
        <v>0</v>
      </c>
      <c r="J741" s="40">
        <v>1304409.95</v>
      </c>
      <c r="K741" s="21"/>
    </row>
    <row r="742" ht="64.8" hidden="1" spans="1:11">
      <c r="A742" s="21" t="s">
        <v>1043</v>
      </c>
      <c r="B742" s="21" t="s">
        <v>1053</v>
      </c>
      <c r="C742" s="21" t="s">
        <v>298</v>
      </c>
      <c r="D742" s="21">
        <v>8</v>
      </c>
      <c r="E742" s="21" t="s">
        <v>299</v>
      </c>
      <c r="F742" s="21" t="s">
        <v>300</v>
      </c>
      <c r="G742" s="21" t="s">
        <v>1058</v>
      </c>
      <c r="H742" s="40">
        <v>200</v>
      </c>
      <c r="I742" s="40">
        <v>0</v>
      </c>
      <c r="J742" s="40">
        <v>1304609.95</v>
      </c>
      <c r="K742" s="21"/>
    </row>
    <row r="743" ht="64.8" hidden="1" spans="1:11">
      <c r="A743" s="21" t="s">
        <v>1043</v>
      </c>
      <c r="B743" s="21" t="s">
        <v>1053</v>
      </c>
      <c r="C743" s="21" t="s">
        <v>298</v>
      </c>
      <c r="D743" s="21">
        <v>8</v>
      </c>
      <c r="E743" s="21" t="s">
        <v>299</v>
      </c>
      <c r="F743" s="21" t="s">
        <v>300</v>
      </c>
      <c r="G743" s="21" t="s">
        <v>1059</v>
      </c>
      <c r="H743" s="40">
        <v>200</v>
      </c>
      <c r="I743" s="40">
        <v>0</v>
      </c>
      <c r="J743" s="40">
        <v>1304809.95</v>
      </c>
      <c r="K743" s="21"/>
    </row>
    <row r="744" ht="64.8" hidden="1" spans="1:11">
      <c r="A744" s="21" t="s">
        <v>1043</v>
      </c>
      <c r="B744" s="21" t="s">
        <v>1053</v>
      </c>
      <c r="C744" s="21" t="s">
        <v>298</v>
      </c>
      <c r="D744" s="21">
        <v>8</v>
      </c>
      <c r="E744" s="21" t="s">
        <v>299</v>
      </c>
      <c r="F744" s="21" t="s">
        <v>300</v>
      </c>
      <c r="G744" s="21" t="s">
        <v>1060</v>
      </c>
      <c r="H744" s="40">
        <v>800</v>
      </c>
      <c r="I744" s="40">
        <v>0</v>
      </c>
      <c r="J744" s="40">
        <v>1305609.95</v>
      </c>
      <c r="K744" s="21"/>
    </row>
    <row r="745" ht="64.8" hidden="1" spans="1:11">
      <c r="A745" s="21" t="s">
        <v>1043</v>
      </c>
      <c r="B745" s="21" t="s">
        <v>1053</v>
      </c>
      <c r="C745" s="21" t="s">
        <v>298</v>
      </c>
      <c r="D745" s="21">
        <v>8</v>
      </c>
      <c r="E745" s="21" t="s">
        <v>299</v>
      </c>
      <c r="F745" s="21" t="s">
        <v>300</v>
      </c>
      <c r="G745" s="21" t="s">
        <v>1061</v>
      </c>
      <c r="H745" s="40">
        <v>1320</v>
      </c>
      <c r="I745" s="40">
        <v>0</v>
      </c>
      <c r="J745" s="40">
        <v>1306929.95</v>
      </c>
      <c r="K745" s="21"/>
    </row>
    <row r="746" ht="64.8" hidden="1" spans="1:11">
      <c r="A746" s="21" t="s">
        <v>1043</v>
      </c>
      <c r="B746" s="21" t="s">
        <v>1053</v>
      </c>
      <c r="C746" s="21" t="s">
        <v>298</v>
      </c>
      <c r="D746" s="21">
        <v>8</v>
      </c>
      <c r="E746" s="21" t="s">
        <v>299</v>
      </c>
      <c r="F746" s="21" t="s">
        <v>300</v>
      </c>
      <c r="G746" s="21" t="s">
        <v>1062</v>
      </c>
      <c r="H746" s="40">
        <v>1254</v>
      </c>
      <c r="I746" s="40">
        <v>0</v>
      </c>
      <c r="J746" s="40">
        <v>1308183.95</v>
      </c>
      <c r="K746" s="21"/>
    </row>
    <row r="747" ht="64.8" hidden="1" spans="1:11">
      <c r="A747" s="21" t="s">
        <v>1043</v>
      </c>
      <c r="B747" s="21" t="s">
        <v>1063</v>
      </c>
      <c r="C747" s="21" t="s">
        <v>298</v>
      </c>
      <c r="D747" s="21">
        <v>12</v>
      </c>
      <c r="E747" s="21" t="s">
        <v>299</v>
      </c>
      <c r="F747" s="21" t="s">
        <v>300</v>
      </c>
      <c r="G747" s="21" t="s">
        <v>1064</v>
      </c>
      <c r="H747" s="40">
        <v>2264.15</v>
      </c>
      <c r="I747" s="40">
        <v>0</v>
      </c>
      <c r="J747" s="40">
        <v>1310448.1</v>
      </c>
      <c r="K747" s="21"/>
    </row>
    <row r="748" ht="64.8" hidden="1" spans="1:11">
      <c r="A748" s="21" t="s">
        <v>1043</v>
      </c>
      <c r="B748" s="21" t="s">
        <v>1065</v>
      </c>
      <c r="C748" s="21" t="s">
        <v>298</v>
      </c>
      <c r="D748" s="21">
        <v>14</v>
      </c>
      <c r="E748" s="21" t="s">
        <v>299</v>
      </c>
      <c r="F748" s="21" t="s">
        <v>300</v>
      </c>
      <c r="G748" s="21" t="s">
        <v>1066</v>
      </c>
      <c r="H748" s="40">
        <v>13210.27</v>
      </c>
      <c r="I748" s="40">
        <v>0</v>
      </c>
      <c r="J748" s="40">
        <v>1323658.37</v>
      </c>
      <c r="K748" s="21"/>
    </row>
    <row r="749" ht="64.8" hidden="1" spans="1:11">
      <c r="A749" s="21" t="s">
        <v>1043</v>
      </c>
      <c r="B749" s="21" t="s">
        <v>1065</v>
      </c>
      <c r="C749" s="21" t="s">
        <v>298</v>
      </c>
      <c r="D749" s="21">
        <v>14</v>
      </c>
      <c r="E749" s="21" t="s">
        <v>299</v>
      </c>
      <c r="F749" s="21" t="s">
        <v>300</v>
      </c>
      <c r="G749" s="21" t="s">
        <v>1067</v>
      </c>
      <c r="H749" s="40">
        <v>17600</v>
      </c>
      <c r="I749" s="40">
        <v>0</v>
      </c>
      <c r="J749" s="40">
        <v>1341258.37</v>
      </c>
      <c r="K749" s="21"/>
    </row>
    <row r="750" ht="64.8" hidden="1" spans="1:11">
      <c r="A750" s="21" t="s">
        <v>1043</v>
      </c>
      <c r="B750" s="21" t="s">
        <v>1068</v>
      </c>
      <c r="C750" s="21" t="s">
        <v>1069</v>
      </c>
      <c r="D750" s="21">
        <v>19</v>
      </c>
      <c r="E750" s="21" t="s">
        <v>299</v>
      </c>
      <c r="F750" s="21" t="s">
        <v>300</v>
      </c>
      <c r="G750" s="21" t="s">
        <v>1070</v>
      </c>
      <c r="H750" s="40">
        <v>0</v>
      </c>
      <c r="I750" s="40">
        <v>2793</v>
      </c>
      <c r="J750" s="40">
        <v>1338465.37</v>
      </c>
      <c r="K750" s="21"/>
    </row>
    <row r="751" ht="64.8" hidden="1" spans="1:11">
      <c r="A751" s="21" t="s">
        <v>1043</v>
      </c>
      <c r="B751" s="21" t="s">
        <v>1068</v>
      </c>
      <c r="C751" s="21" t="s">
        <v>298</v>
      </c>
      <c r="D751" s="21">
        <v>15</v>
      </c>
      <c r="E751" s="21" t="s">
        <v>299</v>
      </c>
      <c r="F751" s="21" t="s">
        <v>300</v>
      </c>
      <c r="G751" s="21" t="s">
        <v>1071</v>
      </c>
      <c r="H751" s="40">
        <v>78250.33</v>
      </c>
      <c r="I751" s="40">
        <v>0</v>
      </c>
      <c r="J751" s="40">
        <v>1416715.7</v>
      </c>
      <c r="K751" s="21"/>
    </row>
    <row r="752" ht="64.8" spans="1:11">
      <c r="A752" s="21" t="s">
        <v>1043</v>
      </c>
      <c r="B752" s="21" t="s">
        <v>1072</v>
      </c>
      <c r="C752" s="21" t="s">
        <v>298</v>
      </c>
      <c r="D752" s="21">
        <v>16</v>
      </c>
      <c r="E752" s="21" t="s">
        <v>299</v>
      </c>
      <c r="F752" s="21" t="s">
        <v>300</v>
      </c>
      <c r="G752" s="21" t="s">
        <v>1073</v>
      </c>
      <c r="H752" s="40">
        <v>3168</v>
      </c>
      <c r="I752" s="40"/>
      <c r="J752" s="40">
        <v>1419883.7</v>
      </c>
      <c r="K752" s="21"/>
    </row>
    <row r="753" ht="64.8" spans="1:13">
      <c r="A753" s="21" t="s">
        <v>1043</v>
      </c>
      <c r="B753" s="21" t="s">
        <v>1072</v>
      </c>
      <c r="C753" s="21" t="s">
        <v>298</v>
      </c>
      <c r="D753" s="21">
        <v>16</v>
      </c>
      <c r="E753" s="21" t="s">
        <v>299</v>
      </c>
      <c r="F753" s="21" t="s">
        <v>300</v>
      </c>
      <c r="G753" s="21" t="s">
        <v>1074</v>
      </c>
      <c r="H753" s="40">
        <v>20510</v>
      </c>
      <c r="I753" s="40">
        <v>0</v>
      </c>
      <c r="J753" s="40">
        <v>1440393.7</v>
      </c>
      <c r="K753" s="21"/>
    </row>
    <row r="754" ht="64.8" spans="1:13">
      <c r="A754" s="21" t="s">
        <v>1043</v>
      </c>
      <c r="B754" s="21" t="s">
        <v>1072</v>
      </c>
      <c r="C754" s="21" t="s">
        <v>298</v>
      </c>
      <c r="D754" s="21">
        <v>16</v>
      </c>
      <c r="E754" s="21" t="s">
        <v>299</v>
      </c>
      <c r="F754" s="21" t="s">
        <v>300</v>
      </c>
      <c r="G754" s="21" t="s">
        <v>1075</v>
      </c>
      <c r="H754" s="40">
        <v>20508</v>
      </c>
      <c r="I754" s="40">
        <v>0</v>
      </c>
      <c r="J754" s="40">
        <v>1460901.7</v>
      </c>
      <c r="K754" s="21"/>
    </row>
    <row r="755" ht="64.8" spans="1:13">
      <c r="A755" s="21" t="s">
        <v>1043</v>
      </c>
      <c r="B755" s="21" t="s">
        <v>1072</v>
      </c>
      <c r="C755" s="21" t="s">
        <v>298</v>
      </c>
      <c r="D755" s="21">
        <v>16</v>
      </c>
      <c r="E755" s="21" t="s">
        <v>299</v>
      </c>
      <c r="F755" s="21" t="s">
        <v>300</v>
      </c>
      <c r="G755" s="21" t="s">
        <v>1076</v>
      </c>
      <c r="H755" s="40">
        <v>20510</v>
      </c>
      <c r="I755" s="40">
        <v>0</v>
      </c>
      <c r="J755" s="40">
        <v>1481411.7</v>
      </c>
      <c r="K755" s="21"/>
    </row>
    <row r="756" ht="64.8" spans="1:13">
      <c r="A756" s="21" t="s">
        <v>1043</v>
      </c>
      <c r="B756" s="21" t="s">
        <v>1072</v>
      </c>
      <c r="C756" s="21" t="s">
        <v>298</v>
      </c>
      <c r="D756" s="21">
        <v>16</v>
      </c>
      <c r="E756" s="21" t="s">
        <v>299</v>
      </c>
      <c r="F756" s="21" t="s">
        <v>300</v>
      </c>
      <c r="G756" s="21" t="s">
        <v>1077</v>
      </c>
      <c r="H756" s="43">
        <v>2560</v>
      </c>
      <c r="I756" s="40">
        <v>0</v>
      </c>
      <c r="J756" s="40">
        <v>1483971.7</v>
      </c>
      <c r="K756" s="21"/>
    </row>
    <row r="757" ht="64.8" spans="1:13">
      <c r="A757" s="21" t="s">
        <v>1043</v>
      </c>
      <c r="B757" s="21" t="s">
        <v>1072</v>
      </c>
      <c r="C757" s="21" t="s">
        <v>298</v>
      </c>
      <c r="D757" s="21">
        <v>16</v>
      </c>
      <c r="E757" s="21" t="s">
        <v>299</v>
      </c>
      <c r="F757" s="21" t="s">
        <v>300</v>
      </c>
      <c r="G757" s="21" t="s">
        <v>1078</v>
      </c>
      <c r="H757" s="43">
        <v>3072</v>
      </c>
      <c r="I757" s="40">
        <v>0</v>
      </c>
      <c r="J757" s="40">
        <v>1487043.7</v>
      </c>
      <c r="K757" s="21"/>
    </row>
    <row r="758" ht="64.8" spans="1:13">
      <c r="A758" s="21" t="s">
        <v>1043</v>
      </c>
      <c r="B758" s="21" t="s">
        <v>1072</v>
      </c>
      <c r="C758" s="21" t="s">
        <v>298</v>
      </c>
      <c r="D758" s="21">
        <v>16</v>
      </c>
      <c r="E758" s="21" t="s">
        <v>299</v>
      </c>
      <c r="F758" s="21" t="s">
        <v>300</v>
      </c>
      <c r="G758" s="21" t="s">
        <v>1079</v>
      </c>
      <c r="H758" s="43">
        <v>2560</v>
      </c>
      <c r="I758" s="40">
        <v>0</v>
      </c>
      <c r="J758" s="40">
        <v>1489603.7</v>
      </c>
      <c r="K758" s="21"/>
      <c r="L758" s="36">
        <v>1536</v>
      </c>
      <c r="M758" s="36" t="s">
        <v>1080</v>
      </c>
    </row>
    <row r="759" ht="64.8" hidden="1" spans="1:13">
      <c r="A759" s="21" t="s">
        <v>1043</v>
      </c>
      <c r="B759" s="21" t="s">
        <v>1081</v>
      </c>
      <c r="C759" s="21" t="s">
        <v>298</v>
      </c>
      <c r="D759" s="21">
        <v>17</v>
      </c>
      <c r="E759" s="21" t="s">
        <v>299</v>
      </c>
      <c r="F759" s="21" t="s">
        <v>300</v>
      </c>
      <c r="G759" s="21" t="s">
        <v>1082</v>
      </c>
      <c r="H759" s="40">
        <v>3773.58</v>
      </c>
      <c r="I759" s="40">
        <v>0</v>
      </c>
      <c r="J759" s="40">
        <v>1493377.28</v>
      </c>
      <c r="K759" s="21"/>
    </row>
    <row r="760" ht="64.8" hidden="1" spans="1:13">
      <c r="A760" s="21" t="s">
        <v>1043</v>
      </c>
      <c r="B760" s="21" t="s">
        <v>1083</v>
      </c>
      <c r="C760" s="21" t="s">
        <v>298</v>
      </c>
      <c r="D760" s="21">
        <v>19</v>
      </c>
      <c r="E760" s="21" t="s">
        <v>299</v>
      </c>
      <c r="F760" s="21" t="s">
        <v>300</v>
      </c>
      <c r="G760" s="21" t="s">
        <v>1084</v>
      </c>
      <c r="H760" s="40">
        <v>3700</v>
      </c>
      <c r="I760" s="40">
        <v>0</v>
      </c>
      <c r="J760" s="40">
        <v>1497077.28</v>
      </c>
      <c r="K760" s="21"/>
    </row>
    <row r="761" ht="64.8" hidden="1" spans="1:13">
      <c r="A761" s="21" t="s">
        <v>1043</v>
      </c>
      <c r="B761" s="21" t="s">
        <v>1083</v>
      </c>
      <c r="C761" s="21" t="s">
        <v>298</v>
      </c>
      <c r="D761" s="21">
        <v>19</v>
      </c>
      <c r="E761" s="21" t="s">
        <v>299</v>
      </c>
      <c r="F761" s="21" t="s">
        <v>300</v>
      </c>
      <c r="G761" s="21" t="s">
        <v>1085</v>
      </c>
      <c r="H761" s="40">
        <v>3700</v>
      </c>
      <c r="I761" s="40">
        <v>0</v>
      </c>
      <c r="J761" s="40">
        <v>1500777.28</v>
      </c>
      <c r="K761" s="21"/>
    </row>
    <row r="762" ht="64.8" hidden="1" spans="1:13">
      <c r="A762" s="21" t="s">
        <v>1043</v>
      </c>
      <c r="B762" s="21" t="s">
        <v>1086</v>
      </c>
      <c r="C762" s="21" t="s">
        <v>298</v>
      </c>
      <c r="D762" s="21">
        <v>20</v>
      </c>
      <c r="E762" s="21" t="s">
        <v>299</v>
      </c>
      <c r="F762" s="21" t="s">
        <v>300</v>
      </c>
      <c r="G762" s="21" t="s">
        <v>1087</v>
      </c>
      <c r="H762" s="40">
        <v>1300</v>
      </c>
      <c r="I762" s="40">
        <v>0</v>
      </c>
      <c r="J762" s="40">
        <v>1502077.28</v>
      </c>
      <c r="K762" s="21"/>
    </row>
    <row r="763" ht="64.8" hidden="1" spans="1:13">
      <c r="A763" s="21" t="s">
        <v>1043</v>
      </c>
      <c r="B763" s="21" t="s">
        <v>1086</v>
      </c>
      <c r="C763" s="21" t="s">
        <v>298</v>
      </c>
      <c r="D763" s="21">
        <v>20</v>
      </c>
      <c r="E763" s="21" t="s">
        <v>299</v>
      </c>
      <c r="F763" s="21" t="s">
        <v>300</v>
      </c>
      <c r="G763" s="21" t="s">
        <v>1088</v>
      </c>
      <c r="H763" s="40">
        <v>1300</v>
      </c>
      <c r="I763" s="40">
        <v>0</v>
      </c>
      <c r="J763" s="40">
        <v>1503377.28</v>
      </c>
      <c r="K763" s="21"/>
    </row>
    <row r="764" ht="64.8" hidden="1" spans="1:13">
      <c r="A764" s="21" t="s">
        <v>1043</v>
      </c>
      <c r="B764" s="21" t="s">
        <v>1086</v>
      </c>
      <c r="C764" s="21" t="s">
        <v>298</v>
      </c>
      <c r="D764" s="21">
        <v>20</v>
      </c>
      <c r="E764" s="21" t="s">
        <v>299</v>
      </c>
      <c r="F764" s="21" t="s">
        <v>300</v>
      </c>
      <c r="G764" s="21" t="s">
        <v>1089</v>
      </c>
      <c r="H764" s="40">
        <v>1300</v>
      </c>
      <c r="I764" s="40">
        <v>0</v>
      </c>
      <c r="J764" s="40">
        <v>1504677.28</v>
      </c>
      <c r="K764" s="21"/>
    </row>
    <row r="765" ht="64.8" hidden="1" spans="1:13">
      <c r="A765" s="21" t="s">
        <v>1043</v>
      </c>
      <c r="B765" s="21" t="s">
        <v>1090</v>
      </c>
      <c r="C765" s="21" t="s">
        <v>314</v>
      </c>
      <c r="D765" s="21">
        <v>167</v>
      </c>
      <c r="E765" s="21" t="s">
        <v>299</v>
      </c>
      <c r="F765" s="21" t="s">
        <v>300</v>
      </c>
      <c r="G765" s="21" t="s">
        <v>1091</v>
      </c>
      <c r="H765" s="40">
        <v>9126.23</v>
      </c>
      <c r="I765" s="40">
        <v>0</v>
      </c>
      <c r="J765" s="40">
        <v>1513803.51</v>
      </c>
      <c r="K765" s="21"/>
    </row>
    <row r="766" ht="64.8" hidden="1" spans="1:13">
      <c r="A766" s="21" t="s">
        <v>1043</v>
      </c>
      <c r="B766" s="21" t="s">
        <v>1090</v>
      </c>
      <c r="C766" s="21" t="s">
        <v>314</v>
      </c>
      <c r="D766" s="21">
        <v>174</v>
      </c>
      <c r="E766" s="21" t="s">
        <v>299</v>
      </c>
      <c r="F766" s="21" t="s">
        <v>300</v>
      </c>
      <c r="G766" s="21" t="s">
        <v>1092</v>
      </c>
      <c r="H766" s="40">
        <v>28301.89</v>
      </c>
      <c r="I766" s="40">
        <v>0</v>
      </c>
      <c r="J766" s="40">
        <v>1542105.4</v>
      </c>
      <c r="K766" s="21"/>
    </row>
    <row r="767" ht="64.8" hidden="1" spans="1:13">
      <c r="A767" s="21" t="s">
        <v>1043</v>
      </c>
      <c r="B767" s="21" t="s">
        <v>1090</v>
      </c>
      <c r="C767" s="21" t="s">
        <v>314</v>
      </c>
      <c r="D767" s="21">
        <v>174</v>
      </c>
      <c r="E767" s="21" t="s">
        <v>299</v>
      </c>
      <c r="F767" s="21" t="s">
        <v>300</v>
      </c>
      <c r="G767" s="21" t="s">
        <v>1093</v>
      </c>
      <c r="H767" s="40">
        <v>8352.18</v>
      </c>
      <c r="I767" s="40">
        <v>0</v>
      </c>
      <c r="J767" s="40">
        <v>1550457.58</v>
      </c>
      <c r="K767" s="21"/>
    </row>
    <row r="768" ht="64.8" hidden="1" spans="1:13">
      <c r="A768" s="21" t="s">
        <v>1043</v>
      </c>
      <c r="B768" s="21" t="s">
        <v>1090</v>
      </c>
      <c r="C768" s="21" t="s">
        <v>314</v>
      </c>
      <c r="D768" s="21">
        <v>174</v>
      </c>
      <c r="E768" s="21" t="s">
        <v>299</v>
      </c>
      <c r="F768" s="21" t="s">
        <v>300</v>
      </c>
      <c r="G768" s="21" t="s">
        <v>1094</v>
      </c>
      <c r="H768" s="40">
        <v>15743.82</v>
      </c>
      <c r="I768" s="40">
        <v>0</v>
      </c>
      <c r="J768" s="40">
        <v>1566201.4</v>
      </c>
      <c r="K768" s="21"/>
    </row>
    <row r="769" ht="64.8" hidden="1" spans="1:11">
      <c r="A769" s="21" t="s">
        <v>1043</v>
      </c>
      <c r="B769" s="21" t="s">
        <v>1090</v>
      </c>
      <c r="C769" s="21" t="s">
        <v>314</v>
      </c>
      <c r="D769" s="21">
        <v>174</v>
      </c>
      <c r="E769" s="21" t="s">
        <v>299</v>
      </c>
      <c r="F769" s="21" t="s">
        <v>300</v>
      </c>
      <c r="G769" s="21" t="s">
        <v>1095</v>
      </c>
      <c r="H769" s="40">
        <v>6162.49</v>
      </c>
      <c r="I769" s="40">
        <v>0</v>
      </c>
      <c r="J769" s="40">
        <v>1572363.89</v>
      </c>
      <c r="K769" s="21"/>
    </row>
    <row r="770" ht="64.8" hidden="1" spans="1:11">
      <c r="A770" s="21" t="s">
        <v>1043</v>
      </c>
      <c r="B770" s="21" t="s">
        <v>1090</v>
      </c>
      <c r="C770" s="21" t="s">
        <v>314</v>
      </c>
      <c r="D770" s="21">
        <v>174</v>
      </c>
      <c r="E770" s="21" t="s">
        <v>299</v>
      </c>
      <c r="F770" s="21" t="s">
        <v>300</v>
      </c>
      <c r="G770" s="21" t="s">
        <v>1096</v>
      </c>
      <c r="H770" s="40">
        <v>4957.39</v>
      </c>
      <c r="I770" s="40">
        <v>0</v>
      </c>
      <c r="J770" s="40">
        <v>1577321.28</v>
      </c>
      <c r="K770" s="21"/>
    </row>
    <row r="771" ht="54" hidden="1" spans="1:11">
      <c r="A771" s="21" t="s">
        <v>1043</v>
      </c>
      <c r="B771" s="21" t="s">
        <v>1090</v>
      </c>
      <c r="C771" s="21" t="s">
        <v>359</v>
      </c>
      <c r="D771" s="21">
        <v>6</v>
      </c>
      <c r="E771" s="21" t="s">
        <v>299</v>
      </c>
      <c r="F771" s="21" t="s">
        <v>300</v>
      </c>
      <c r="G771" s="21" t="s">
        <v>1097</v>
      </c>
      <c r="H771" s="40">
        <v>15000</v>
      </c>
      <c r="I771" s="40">
        <v>0</v>
      </c>
      <c r="J771" s="40">
        <v>1592321.28</v>
      </c>
      <c r="K771" s="21"/>
    </row>
    <row r="772" ht="54" hidden="1" spans="1:11">
      <c r="A772" s="21" t="s">
        <v>1043</v>
      </c>
      <c r="B772" s="21" t="s">
        <v>1090</v>
      </c>
      <c r="C772" s="21" t="s">
        <v>359</v>
      </c>
      <c r="D772" s="21">
        <v>6</v>
      </c>
      <c r="E772" s="21" t="s">
        <v>299</v>
      </c>
      <c r="F772" s="21" t="s">
        <v>300</v>
      </c>
      <c r="G772" s="21" t="s">
        <v>1097</v>
      </c>
      <c r="H772" s="40">
        <v>36563.15</v>
      </c>
      <c r="I772" s="40">
        <v>0</v>
      </c>
      <c r="J772" s="40">
        <v>1628884.43</v>
      </c>
      <c r="K772" s="21"/>
    </row>
    <row r="773" ht="43.2" hidden="1" spans="1:11">
      <c r="A773" s="21" t="s">
        <v>1043</v>
      </c>
      <c r="B773" s="21" t="s">
        <v>1090</v>
      </c>
      <c r="C773" s="21" t="s">
        <v>359</v>
      </c>
      <c r="D773" s="21">
        <v>6</v>
      </c>
      <c r="E773" s="21" t="s">
        <v>299</v>
      </c>
      <c r="F773" s="21" t="s">
        <v>300</v>
      </c>
      <c r="G773" s="21" t="s">
        <v>1098</v>
      </c>
      <c r="H773" s="40">
        <v>26055.64</v>
      </c>
      <c r="I773" s="40">
        <v>0</v>
      </c>
      <c r="J773" s="40">
        <v>1654940.07</v>
      </c>
      <c r="K773" s="21"/>
    </row>
    <row r="774" ht="64.8" hidden="1" spans="1:11">
      <c r="A774" s="21" t="s">
        <v>1043</v>
      </c>
      <c r="B774" s="21" t="s">
        <v>1090</v>
      </c>
      <c r="C774" s="21" t="s">
        <v>359</v>
      </c>
      <c r="D774" s="21">
        <v>6</v>
      </c>
      <c r="E774" s="21" t="s">
        <v>299</v>
      </c>
      <c r="F774" s="21" t="s">
        <v>300</v>
      </c>
      <c r="G774" s="21" t="s">
        <v>1099</v>
      </c>
      <c r="H774" s="40">
        <v>15885.47</v>
      </c>
      <c r="I774" s="40">
        <v>0</v>
      </c>
      <c r="J774" s="40">
        <v>1670825.54</v>
      </c>
      <c r="K774" s="21"/>
    </row>
    <row r="775" ht="97.2" hidden="1" spans="1:11">
      <c r="A775" s="21" t="s">
        <v>1043</v>
      </c>
      <c r="B775" s="21" t="s">
        <v>1090</v>
      </c>
      <c r="C775" s="21" t="s">
        <v>319</v>
      </c>
      <c r="D775" s="21">
        <v>10</v>
      </c>
      <c r="E775" s="21" t="s">
        <v>299</v>
      </c>
      <c r="F775" s="21" t="s">
        <v>300</v>
      </c>
      <c r="G775" s="21" t="s">
        <v>1100</v>
      </c>
      <c r="H775" s="40">
        <v>612.82</v>
      </c>
      <c r="I775" s="40">
        <v>0</v>
      </c>
      <c r="J775" s="40">
        <v>1671438.36</v>
      </c>
      <c r="K775" s="21"/>
    </row>
    <row r="776" ht="97.2" hidden="1" spans="1:11">
      <c r="A776" s="21" t="s">
        <v>1043</v>
      </c>
      <c r="B776" s="21" t="s">
        <v>1090</v>
      </c>
      <c r="C776" s="21" t="s">
        <v>319</v>
      </c>
      <c r="D776" s="21">
        <v>10</v>
      </c>
      <c r="E776" s="21" t="s">
        <v>299</v>
      </c>
      <c r="F776" s="21" t="s">
        <v>300</v>
      </c>
      <c r="G776" s="21" t="s">
        <v>1101</v>
      </c>
      <c r="H776" s="40">
        <v>13770</v>
      </c>
      <c r="I776" s="40">
        <v>0</v>
      </c>
      <c r="J776" s="40">
        <v>1685208.36</v>
      </c>
      <c r="K776" s="21"/>
    </row>
    <row r="777" ht="97.2" hidden="1" spans="1:11">
      <c r="A777" s="21" t="s">
        <v>1043</v>
      </c>
      <c r="B777" s="21" t="s">
        <v>1090</v>
      </c>
      <c r="C777" s="21" t="s">
        <v>319</v>
      </c>
      <c r="D777" s="21">
        <v>10</v>
      </c>
      <c r="E777" s="21" t="s">
        <v>299</v>
      </c>
      <c r="F777" s="21" t="s">
        <v>300</v>
      </c>
      <c r="G777" s="21" t="s">
        <v>1102</v>
      </c>
      <c r="H777" s="40">
        <v>8302.5</v>
      </c>
      <c r="I777" s="40">
        <v>0</v>
      </c>
      <c r="J777" s="40">
        <v>1693510.86</v>
      </c>
      <c r="K777" s="21"/>
    </row>
    <row r="778" ht="97.2" hidden="1" spans="1:11">
      <c r="A778" s="21" t="s">
        <v>1043</v>
      </c>
      <c r="B778" s="21" t="s">
        <v>1090</v>
      </c>
      <c r="C778" s="21" t="s">
        <v>319</v>
      </c>
      <c r="D778" s="21">
        <v>17</v>
      </c>
      <c r="E778" s="21" t="s">
        <v>299</v>
      </c>
      <c r="F778" s="21" t="s">
        <v>300</v>
      </c>
      <c r="G778" s="21" t="s">
        <v>1103</v>
      </c>
      <c r="H778" s="40">
        <v>0</v>
      </c>
      <c r="I778" s="40">
        <v>10997.98</v>
      </c>
      <c r="J778" s="40">
        <v>1682512.88</v>
      </c>
      <c r="K778" s="21"/>
    </row>
    <row r="779" ht="97.2" hidden="1" spans="1:11">
      <c r="A779" s="21" t="s">
        <v>1043</v>
      </c>
      <c r="B779" s="21" t="s">
        <v>1090</v>
      </c>
      <c r="C779" s="21" t="s">
        <v>319</v>
      </c>
      <c r="D779" s="21">
        <v>17</v>
      </c>
      <c r="E779" s="21" t="s">
        <v>299</v>
      </c>
      <c r="F779" s="21" t="s">
        <v>300</v>
      </c>
      <c r="G779" s="21" t="s">
        <v>1104</v>
      </c>
      <c r="H779" s="40">
        <v>0</v>
      </c>
      <c r="I779" s="40">
        <v>2208.26</v>
      </c>
      <c r="J779" s="40">
        <v>1680304.62</v>
      </c>
      <c r="K779" s="21"/>
    </row>
    <row r="780" ht="97.2" hidden="1" spans="1:11">
      <c r="A780" s="21" t="s">
        <v>1043</v>
      </c>
      <c r="B780" s="21" t="s">
        <v>1090</v>
      </c>
      <c r="C780" s="21" t="s">
        <v>319</v>
      </c>
      <c r="D780" s="21">
        <v>17</v>
      </c>
      <c r="E780" s="21" t="s">
        <v>299</v>
      </c>
      <c r="F780" s="21" t="s">
        <v>300</v>
      </c>
      <c r="G780" s="21" t="s">
        <v>1105</v>
      </c>
      <c r="H780" s="40">
        <v>0</v>
      </c>
      <c r="I780" s="40">
        <v>2207.98</v>
      </c>
      <c r="J780" s="40">
        <v>1678096.64</v>
      </c>
      <c r="K780" s="21"/>
    </row>
    <row r="781" ht="97.2" hidden="1" spans="1:11">
      <c r="A781" s="21" t="s">
        <v>1043</v>
      </c>
      <c r="B781" s="21" t="s">
        <v>1090</v>
      </c>
      <c r="C781" s="21" t="s">
        <v>319</v>
      </c>
      <c r="D781" s="21">
        <v>17</v>
      </c>
      <c r="E781" s="21" t="s">
        <v>299</v>
      </c>
      <c r="F781" s="21" t="s">
        <v>300</v>
      </c>
      <c r="G781" s="21" t="s">
        <v>1106</v>
      </c>
      <c r="H781" s="40">
        <v>0</v>
      </c>
      <c r="I781" s="40">
        <v>2492.88</v>
      </c>
      <c r="J781" s="40">
        <v>1675603.76</v>
      </c>
      <c r="K781" s="21"/>
    </row>
    <row r="782" ht="97.2" hidden="1" spans="1:11">
      <c r="A782" s="21" t="s">
        <v>1043</v>
      </c>
      <c r="B782" s="21" t="s">
        <v>1090</v>
      </c>
      <c r="C782" s="21" t="s">
        <v>319</v>
      </c>
      <c r="D782" s="21">
        <v>17</v>
      </c>
      <c r="E782" s="21" t="s">
        <v>299</v>
      </c>
      <c r="F782" s="21" t="s">
        <v>300</v>
      </c>
      <c r="G782" s="21" t="s">
        <v>1107</v>
      </c>
      <c r="H782" s="40">
        <v>0</v>
      </c>
      <c r="I782" s="40">
        <v>2136.75</v>
      </c>
      <c r="J782" s="40">
        <v>1673467.01</v>
      </c>
      <c r="K782" s="21"/>
    </row>
    <row r="783" ht="97.2" hidden="1" spans="1:11">
      <c r="A783" s="21" t="s">
        <v>1043</v>
      </c>
      <c r="B783" s="21" t="s">
        <v>1090</v>
      </c>
      <c r="C783" s="21" t="s">
        <v>319</v>
      </c>
      <c r="D783" s="21">
        <v>17</v>
      </c>
      <c r="E783" s="21" t="s">
        <v>299</v>
      </c>
      <c r="F783" s="21" t="s">
        <v>300</v>
      </c>
      <c r="G783" s="21" t="s">
        <v>1108</v>
      </c>
      <c r="H783" s="40">
        <v>0</v>
      </c>
      <c r="I783" s="40">
        <v>2301.99</v>
      </c>
      <c r="J783" s="40">
        <v>1671165.02</v>
      </c>
      <c r="K783" s="21"/>
    </row>
    <row r="784" ht="97.2" hidden="1" spans="1:11">
      <c r="A784" s="21" t="s">
        <v>1043</v>
      </c>
      <c r="B784" s="21" t="s">
        <v>1090</v>
      </c>
      <c r="C784" s="21" t="s">
        <v>319</v>
      </c>
      <c r="D784" s="21">
        <v>17</v>
      </c>
      <c r="E784" s="21" t="s">
        <v>299</v>
      </c>
      <c r="F784" s="21" t="s">
        <v>300</v>
      </c>
      <c r="G784" s="21" t="s">
        <v>1109</v>
      </c>
      <c r="H784" s="40">
        <v>0</v>
      </c>
      <c r="I784" s="40">
        <v>4666.81</v>
      </c>
      <c r="J784" s="40">
        <v>1666498.21</v>
      </c>
      <c r="K784" s="21"/>
    </row>
    <row r="785" ht="97.2" hidden="1" spans="1:11">
      <c r="A785" s="21" t="s">
        <v>1043</v>
      </c>
      <c r="B785" s="21" t="s">
        <v>1090</v>
      </c>
      <c r="C785" s="21" t="s">
        <v>319</v>
      </c>
      <c r="D785" s="21">
        <v>17</v>
      </c>
      <c r="E785" s="21" t="s">
        <v>299</v>
      </c>
      <c r="F785" s="21" t="s">
        <v>300</v>
      </c>
      <c r="G785" s="21" t="s">
        <v>1110</v>
      </c>
      <c r="H785" s="40">
        <v>0</v>
      </c>
      <c r="I785" s="40">
        <v>8832.12</v>
      </c>
      <c r="J785" s="40">
        <v>1657666.09</v>
      </c>
      <c r="K785" s="21"/>
    </row>
    <row r="786" ht="97.2" hidden="1" spans="1:11">
      <c r="A786" s="21" t="s">
        <v>1043</v>
      </c>
      <c r="B786" s="21" t="s">
        <v>1090</v>
      </c>
      <c r="C786" s="21" t="s">
        <v>319</v>
      </c>
      <c r="D786" s="21">
        <v>17</v>
      </c>
      <c r="E786" s="21" t="s">
        <v>299</v>
      </c>
      <c r="F786" s="21" t="s">
        <v>300</v>
      </c>
      <c r="G786" s="21" t="s">
        <v>1111</v>
      </c>
      <c r="H786" s="40">
        <v>0</v>
      </c>
      <c r="I786" s="40">
        <v>628.93</v>
      </c>
      <c r="J786" s="40">
        <v>1657037.16</v>
      </c>
      <c r="K786" s="21"/>
    </row>
    <row r="787" ht="97.2" hidden="1" spans="1:11">
      <c r="A787" s="21" t="s">
        <v>1043</v>
      </c>
      <c r="B787" s="21" t="s">
        <v>1090</v>
      </c>
      <c r="C787" s="21" t="s">
        <v>319</v>
      </c>
      <c r="D787" s="21">
        <v>17</v>
      </c>
      <c r="E787" s="21" t="s">
        <v>299</v>
      </c>
      <c r="F787" s="21" t="s">
        <v>300</v>
      </c>
      <c r="G787" s="21" t="s">
        <v>1112</v>
      </c>
      <c r="H787" s="40">
        <v>0</v>
      </c>
      <c r="I787" s="40">
        <v>1257.12</v>
      </c>
      <c r="J787" s="40">
        <v>1655780.04</v>
      </c>
      <c r="K787" s="21"/>
    </row>
    <row r="788" ht="97.2" hidden="1" spans="1:11">
      <c r="A788" s="21" t="s">
        <v>1043</v>
      </c>
      <c r="B788" s="21" t="s">
        <v>1090</v>
      </c>
      <c r="C788" s="21" t="s">
        <v>319</v>
      </c>
      <c r="D788" s="21">
        <v>17</v>
      </c>
      <c r="E788" s="21" t="s">
        <v>299</v>
      </c>
      <c r="F788" s="21" t="s">
        <v>300</v>
      </c>
      <c r="G788" s="21" t="s">
        <v>1113</v>
      </c>
      <c r="H788" s="40">
        <v>0</v>
      </c>
      <c r="I788" s="40">
        <v>284.9</v>
      </c>
      <c r="J788" s="40">
        <v>1655495.14</v>
      </c>
      <c r="K788" s="21"/>
    </row>
    <row r="789" ht="97.2" hidden="1" spans="1:11">
      <c r="A789" s="21" t="s">
        <v>1043</v>
      </c>
      <c r="B789" s="21" t="s">
        <v>1090</v>
      </c>
      <c r="C789" s="21" t="s">
        <v>319</v>
      </c>
      <c r="D789" s="21">
        <v>17</v>
      </c>
      <c r="E789" s="21" t="s">
        <v>299</v>
      </c>
      <c r="F789" s="21" t="s">
        <v>300</v>
      </c>
      <c r="G789" s="21" t="s">
        <v>1114</v>
      </c>
      <c r="H789" s="40">
        <v>0</v>
      </c>
      <c r="I789" s="40">
        <v>853.29</v>
      </c>
      <c r="J789" s="40">
        <v>1654641.85</v>
      </c>
      <c r="K789" s="21"/>
    </row>
    <row r="790" ht="97.2" hidden="1" spans="1:11">
      <c r="A790" s="21" t="s">
        <v>1043</v>
      </c>
      <c r="B790" s="21" t="s">
        <v>1090</v>
      </c>
      <c r="C790" s="21" t="s">
        <v>319</v>
      </c>
      <c r="D790" s="21">
        <v>17</v>
      </c>
      <c r="E790" s="21" t="s">
        <v>299</v>
      </c>
      <c r="F790" s="21" t="s">
        <v>300</v>
      </c>
      <c r="G790" s="21" t="s">
        <v>1115</v>
      </c>
      <c r="H790" s="40">
        <v>0</v>
      </c>
      <c r="I790" s="40">
        <v>436.61</v>
      </c>
      <c r="J790" s="40">
        <v>1654205.24</v>
      </c>
      <c r="K790" s="21"/>
    </row>
    <row r="791" ht="97.2" hidden="1" spans="1:11">
      <c r="A791" s="21" t="s">
        <v>1043</v>
      </c>
      <c r="B791" s="21" t="s">
        <v>1090</v>
      </c>
      <c r="C791" s="21" t="s">
        <v>319</v>
      </c>
      <c r="D791" s="21">
        <v>17</v>
      </c>
      <c r="E791" s="21" t="s">
        <v>299</v>
      </c>
      <c r="F791" s="21" t="s">
        <v>300</v>
      </c>
      <c r="G791" s="21" t="s">
        <v>1116</v>
      </c>
      <c r="H791" s="40">
        <v>0</v>
      </c>
      <c r="I791" s="40">
        <v>569.8</v>
      </c>
      <c r="J791" s="40">
        <v>1653635.44</v>
      </c>
      <c r="K791" s="21"/>
    </row>
    <row r="792" ht="97.2" hidden="1" spans="1:11">
      <c r="A792" s="21" t="s">
        <v>1043</v>
      </c>
      <c r="B792" s="21" t="s">
        <v>1090</v>
      </c>
      <c r="C792" s="21" t="s">
        <v>319</v>
      </c>
      <c r="D792" s="21">
        <v>17</v>
      </c>
      <c r="E792" s="21" t="s">
        <v>299</v>
      </c>
      <c r="F792" s="21" t="s">
        <v>300</v>
      </c>
      <c r="G792" s="21" t="s">
        <v>1117</v>
      </c>
      <c r="H792" s="40">
        <v>0</v>
      </c>
      <c r="I792" s="40">
        <v>900</v>
      </c>
      <c r="J792" s="40">
        <v>1652735.44</v>
      </c>
      <c r="K792" s="21"/>
    </row>
    <row r="793" ht="97.2" hidden="1" spans="1:11">
      <c r="A793" s="21" t="s">
        <v>1043</v>
      </c>
      <c r="B793" s="21" t="s">
        <v>1090</v>
      </c>
      <c r="C793" s="21" t="s">
        <v>319</v>
      </c>
      <c r="D793" s="21">
        <v>17</v>
      </c>
      <c r="E793" s="21" t="s">
        <v>299</v>
      </c>
      <c r="F793" s="21" t="s">
        <v>300</v>
      </c>
      <c r="G793" s="21" t="s">
        <v>1118</v>
      </c>
      <c r="H793" s="40">
        <v>0</v>
      </c>
      <c r="I793" s="40">
        <v>356.39</v>
      </c>
      <c r="J793" s="40">
        <v>1652379.05</v>
      </c>
      <c r="K793" s="21"/>
    </row>
    <row r="794" ht="97.2" hidden="1" spans="1:11">
      <c r="A794" s="21" t="s">
        <v>1043</v>
      </c>
      <c r="B794" s="21" t="s">
        <v>1090</v>
      </c>
      <c r="C794" s="21" t="s">
        <v>319</v>
      </c>
      <c r="D794" s="21">
        <v>17</v>
      </c>
      <c r="E794" s="21" t="s">
        <v>299</v>
      </c>
      <c r="F794" s="21" t="s">
        <v>300</v>
      </c>
      <c r="G794" s="21" t="s">
        <v>1119</v>
      </c>
      <c r="H794" s="40">
        <v>0</v>
      </c>
      <c r="I794" s="40">
        <v>162</v>
      </c>
      <c r="J794" s="40">
        <v>1652217.05</v>
      </c>
      <c r="K794" s="21"/>
    </row>
    <row r="795" ht="97.2" hidden="1" spans="1:11">
      <c r="A795" s="21" t="s">
        <v>1043</v>
      </c>
      <c r="B795" s="21" t="s">
        <v>1090</v>
      </c>
      <c r="C795" s="21" t="s">
        <v>319</v>
      </c>
      <c r="D795" s="21">
        <v>17</v>
      </c>
      <c r="E795" s="21" t="s">
        <v>299</v>
      </c>
      <c r="F795" s="21" t="s">
        <v>300</v>
      </c>
      <c r="G795" s="21" t="s">
        <v>1120</v>
      </c>
      <c r="H795" s="40">
        <v>0</v>
      </c>
      <c r="I795" s="40">
        <v>7648.98</v>
      </c>
      <c r="J795" s="40">
        <v>1644568.07</v>
      </c>
      <c r="K795" s="21"/>
    </row>
    <row r="796" ht="97.2" hidden="1" spans="1:11">
      <c r="A796" s="21" t="s">
        <v>1043</v>
      </c>
      <c r="B796" s="21" t="s">
        <v>1090</v>
      </c>
      <c r="C796" s="21" t="s">
        <v>319</v>
      </c>
      <c r="D796" s="21">
        <v>17</v>
      </c>
      <c r="E796" s="21" t="s">
        <v>299</v>
      </c>
      <c r="F796" s="21" t="s">
        <v>300</v>
      </c>
      <c r="G796" s="21" t="s">
        <v>1121</v>
      </c>
      <c r="H796" s="40">
        <v>0</v>
      </c>
      <c r="I796" s="40">
        <v>1507.84</v>
      </c>
      <c r="J796" s="40">
        <v>1643060.23</v>
      </c>
      <c r="K796" s="21"/>
    </row>
    <row r="797" ht="97.2" hidden="1" spans="1:11">
      <c r="A797" s="21" t="s">
        <v>1043</v>
      </c>
      <c r="B797" s="21" t="s">
        <v>1090</v>
      </c>
      <c r="C797" s="21" t="s">
        <v>319</v>
      </c>
      <c r="D797" s="21">
        <v>17</v>
      </c>
      <c r="E797" s="21" t="s">
        <v>299</v>
      </c>
      <c r="F797" s="21" t="s">
        <v>300</v>
      </c>
      <c r="G797" s="21" t="s">
        <v>1122</v>
      </c>
      <c r="H797" s="40">
        <v>0</v>
      </c>
      <c r="I797" s="40">
        <v>6124.21</v>
      </c>
      <c r="J797" s="40">
        <v>1636936.02</v>
      </c>
      <c r="K797" s="21"/>
    </row>
    <row r="798" ht="97.2" hidden="1" spans="1:11">
      <c r="A798" s="21" t="s">
        <v>1043</v>
      </c>
      <c r="B798" s="21" t="s">
        <v>1090</v>
      </c>
      <c r="C798" s="21" t="s">
        <v>319</v>
      </c>
      <c r="D798" s="21">
        <v>17</v>
      </c>
      <c r="E798" s="21" t="s">
        <v>299</v>
      </c>
      <c r="F798" s="21" t="s">
        <v>300</v>
      </c>
      <c r="G798" s="21" t="s">
        <v>1123</v>
      </c>
      <c r="H798" s="40">
        <v>0</v>
      </c>
      <c r="I798" s="40">
        <v>10515.42</v>
      </c>
      <c r="J798" s="40">
        <v>1626420.6</v>
      </c>
      <c r="K798" s="21"/>
    </row>
    <row r="799" ht="97.2" hidden="1" spans="1:11">
      <c r="A799" s="21" t="s">
        <v>1043</v>
      </c>
      <c r="B799" s="21" t="s">
        <v>1090</v>
      </c>
      <c r="C799" s="21" t="s">
        <v>319</v>
      </c>
      <c r="D799" s="21">
        <v>17</v>
      </c>
      <c r="E799" s="21" t="s">
        <v>299</v>
      </c>
      <c r="F799" s="21" t="s">
        <v>300</v>
      </c>
      <c r="G799" s="21" t="s">
        <v>1124</v>
      </c>
      <c r="H799" s="40">
        <v>0</v>
      </c>
      <c r="I799" s="40">
        <v>369</v>
      </c>
      <c r="J799" s="40">
        <v>1626051.6</v>
      </c>
      <c r="K799" s="21"/>
    </row>
    <row r="800" ht="97.2" hidden="1" spans="1:11">
      <c r="A800" s="21" t="s">
        <v>1043</v>
      </c>
      <c r="B800" s="21" t="s">
        <v>1090</v>
      </c>
      <c r="C800" s="21" t="s">
        <v>319</v>
      </c>
      <c r="D800" s="21">
        <v>17</v>
      </c>
      <c r="E800" s="21" t="s">
        <v>299</v>
      </c>
      <c r="F800" s="21" t="s">
        <v>300</v>
      </c>
      <c r="G800" s="21" t="s">
        <v>1125</v>
      </c>
      <c r="H800" s="40">
        <v>0</v>
      </c>
      <c r="I800" s="40">
        <v>2452.83</v>
      </c>
      <c r="J800" s="40">
        <v>1623598.77</v>
      </c>
      <c r="K800" s="21"/>
    </row>
    <row r="801" ht="97.2" hidden="1" spans="1:11">
      <c r="A801" s="21" t="s">
        <v>1043</v>
      </c>
      <c r="B801" s="21" t="s">
        <v>1090</v>
      </c>
      <c r="C801" s="21" t="s">
        <v>319</v>
      </c>
      <c r="D801" s="21">
        <v>17</v>
      </c>
      <c r="E801" s="21" t="s">
        <v>299</v>
      </c>
      <c r="F801" s="21" t="s">
        <v>300</v>
      </c>
      <c r="G801" s="21" t="s">
        <v>1126</v>
      </c>
      <c r="H801" s="40">
        <v>0</v>
      </c>
      <c r="I801" s="40">
        <v>3773.58</v>
      </c>
      <c r="J801" s="40">
        <v>1619825.19</v>
      </c>
      <c r="K801" s="21"/>
    </row>
    <row r="802" ht="97.2" hidden="1" spans="1:11">
      <c r="A802" s="21" t="s">
        <v>1043</v>
      </c>
      <c r="B802" s="21" t="s">
        <v>1090</v>
      </c>
      <c r="C802" s="21" t="s">
        <v>319</v>
      </c>
      <c r="D802" s="21">
        <v>17</v>
      </c>
      <c r="E802" s="21" t="s">
        <v>299</v>
      </c>
      <c r="F802" s="21" t="s">
        <v>300</v>
      </c>
      <c r="G802" s="21" t="s">
        <v>1127</v>
      </c>
      <c r="H802" s="40">
        <v>0</v>
      </c>
      <c r="I802" s="40">
        <v>588</v>
      </c>
      <c r="J802" s="40">
        <v>1619237.19</v>
      </c>
      <c r="K802" s="21"/>
    </row>
    <row r="803" ht="97.2" hidden="1" spans="1:11">
      <c r="A803" s="21" t="s">
        <v>1043</v>
      </c>
      <c r="B803" s="21" t="s">
        <v>1090</v>
      </c>
      <c r="C803" s="21" t="s">
        <v>319</v>
      </c>
      <c r="D803" s="21">
        <v>19</v>
      </c>
      <c r="E803" s="21" t="s">
        <v>299</v>
      </c>
      <c r="F803" s="21" t="s">
        <v>300</v>
      </c>
      <c r="G803" s="21" t="s">
        <v>1128</v>
      </c>
      <c r="H803" s="40">
        <v>0</v>
      </c>
      <c r="I803" s="40">
        <v>2849</v>
      </c>
      <c r="J803" s="40">
        <v>1616388.19</v>
      </c>
      <c r="K803" s="21"/>
    </row>
    <row r="804" ht="97.2" hidden="1" spans="1:11">
      <c r="A804" s="21" t="s">
        <v>1043</v>
      </c>
      <c r="B804" s="21" t="s">
        <v>1090</v>
      </c>
      <c r="C804" s="21" t="s">
        <v>319</v>
      </c>
      <c r="D804" s="21">
        <v>19</v>
      </c>
      <c r="E804" s="21" t="s">
        <v>299</v>
      </c>
      <c r="F804" s="21" t="s">
        <v>300</v>
      </c>
      <c r="G804" s="21" t="s">
        <v>1129</v>
      </c>
      <c r="H804" s="40">
        <v>0</v>
      </c>
      <c r="I804" s="40">
        <v>433.33</v>
      </c>
      <c r="J804" s="40">
        <v>1615954.86</v>
      </c>
      <c r="K804" s="21"/>
    </row>
    <row r="805" ht="97.2" hidden="1" spans="1:11">
      <c r="A805" s="21" t="s">
        <v>1043</v>
      </c>
      <c r="B805" s="21" t="s">
        <v>1090</v>
      </c>
      <c r="C805" s="21" t="s">
        <v>319</v>
      </c>
      <c r="D805" s="21">
        <v>19</v>
      </c>
      <c r="E805" s="21" t="s">
        <v>299</v>
      </c>
      <c r="F805" s="21" t="s">
        <v>300</v>
      </c>
      <c r="G805" s="21" t="s">
        <v>1130</v>
      </c>
      <c r="H805" s="40">
        <v>0</v>
      </c>
      <c r="I805" s="40">
        <v>32239.39</v>
      </c>
      <c r="J805" s="40">
        <v>1583715.47</v>
      </c>
      <c r="K805" s="21"/>
    </row>
    <row r="806" ht="97.2" hidden="1" spans="1:11">
      <c r="A806" s="21" t="s">
        <v>1043</v>
      </c>
      <c r="B806" s="21" t="s">
        <v>1090</v>
      </c>
      <c r="C806" s="21" t="s">
        <v>319</v>
      </c>
      <c r="D806" s="21">
        <v>19</v>
      </c>
      <c r="E806" s="21" t="s">
        <v>299</v>
      </c>
      <c r="F806" s="21" t="s">
        <v>300</v>
      </c>
      <c r="G806" s="21" t="s">
        <v>1131</v>
      </c>
      <c r="H806" s="40">
        <v>0</v>
      </c>
      <c r="I806" s="40">
        <v>4455.85</v>
      </c>
      <c r="J806" s="40">
        <v>1579259.62</v>
      </c>
      <c r="K806" s="21"/>
    </row>
    <row r="807" ht="97.2" hidden="1" spans="1:11">
      <c r="A807" s="21" t="s">
        <v>1043</v>
      </c>
      <c r="B807" s="21" t="s">
        <v>1090</v>
      </c>
      <c r="C807" s="21" t="s">
        <v>319</v>
      </c>
      <c r="D807" s="21">
        <v>19</v>
      </c>
      <c r="E807" s="21" t="s">
        <v>299</v>
      </c>
      <c r="F807" s="21" t="s">
        <v>300</v>
      </c>
      <c r="G807" s="21" t="s">
        <v>1132</v>
      </c>
      <c r="H807" s="40">
        <v>0</v>
      </c>
      <c r="I807" s="40">
        <v>609.37</v>
      </c>
      <c r="J807" s="40">
        <v>1578650.25</v>
      </c>
      <c r="K807" s="21"/>
    </row>
    <row r="808" ht="97.2" hidden="1" spans="1:11">
      <c r="A808" s="21" t="s">
        <v>1043</v>
      </c>
      <c r="B808" s="21" t="s">
        <v>1090</v>
      </c>
      <c r="C808" s="21" t="s">
        <v>319</v>
      </c>
      <c r="D808" s="21">
        <v>19</v>
      </c>
      <c r="E808" s="21" t="s">
        <v>299</v>
      </c>
      <c r="F808" s="21" t="s">
        <v>300</v>
      </c>
      <c r="G808" s="21" t="s">
        <v>1133</v>
      </c>
      <c r="H808" s="40">
        <v>0</v>
      </c>
      <c r="I808" s="40">
        <v>1433.33</v>
      </c>
      <c r="J808" s="40">
        <v>1577216.92</v>
      </c>
      <c r="K808" s="21"/>
    </row>
    <row r="809" ht="97.2" hidden="1" spans="1:11">
      <c r="A809" s="21" t="s">
        <v>1043</v>
      </c>
      <c r="B809" s="21" t="s">
        <v>1090</v>
      </c>
      <c r="C809" s="21" t="s">
        <v>319</v>
      </c>
      <c r="D809" s="21">
        <v>19</v>
      </c>
      <c r="E809" s="21" t="s">
        <v>299</v>
      </c>
      <c r="F809" s="21" t="s">
        <v>300</v>
      </c>
      <c r="G809" s="21" t="s">
        <v>1134</v>
      </c>
      <c r="H809" s="40">
        <v>0</v>
      </c>
      <c r="I809" s="40">
        <v>2250</v>
      </c>
      <c r="J809" s="40">
        <v>1574966.92</v>
      </c>
      <c r="K809" s="21"/>
    </row>
    <row r="810" ht="97.2" hidden="1" spans="1:11">
      <c r="A810" s="21" t="s">
        <v>1043</v>
      </c>
      <c r="B810" s="21" t="s">
        <v>1090</v>
      </c>
      <c r="C810" s="21" t="s">
        <v>319</v>
      </c>
      <c r="D810" s="21">
        <v>19</v>
      </c>
      <c r="E810" s="21" t="s">
        <v>299</v>
      </c>
      <c r="F810" s="21" t="s">
        <v>300</v>
      </c>
      <c r="G810" s="21" t="s">
        <v>1135</v>
      </c>
      <c r="H810" s="40">
        <v>0</v>
      </c>
      <c r="I810" s="40">
        <v>2358.49</v>
      </c>
      <c r="J810" s="40">
        <v>1572608.43</v>
      </c>
      <c r="K810" s="21"/>
    </row>
    <row r="811" ht="97.2" hidden="1" spans="1:11">
      <c r="A811" s="21" t="s">
        <v>1043</v>
      </c>
      <c r="B811" s="21" t="s">
        <v>1090</v>
      </c>
      <c r="C811" s="21" t="s">
        <v>319</v>
      </c>
      <c r="D811" s="21">
        <v>19</v>
      </c>
      <c r="E811" s="21" t="s">
        <v>299</v>
      </c>
      <c r="F811" s="21" t="s">
        <v>300</v>
      </c>
      <c r="G811" s="21" t="s">
        <v>1136</v>
      </c>
      <c r="H811" s="40">
        <v>0</v>
      </c>
      <c r="I811" s="40">
        <v>289.08</v>
      </c>
      <c r="J811" s="40">
        <v>1572319.35</v>
      </c>
      <c r="K811" s="21"/>
    </row>
    <row r="812" ht="97.2" hidden="1" spans="1:11">
      <c r="A812" s="21" t="s">
        <v>1043</v>
      </c>
      <c r="B812" s="21" t="s">
        <v>1090</v>
      </c>
      <c r="C812" s="21" t="s">
        <v>319</v>
      </c>
      <c r="D812" s="21">
        <v>19</v>
      </c>
      <c r="E812" s="21" t="s">
        <v>299</v>
      </c>
      <c r="F812" s="21" t="s">
        <v>300</v>
      </c>
      <c r="G812" s="21" t="s">
        <v>1137</v>
      </c>
      <c r="H812" s="40">
        <v>0</v>
      </c>
      <c r="I812" s="40">
        <v>11479.21</v>
      </c>
      <c r="J812" s="40">
        <v>1560840.14</v>
      </c>
      <c r="K812" s="21"/>
    </row>
    <row r="813" ht="97.2" hidden="1" spans="1:11">
      <c r="A813" s="21" t="s">
        <v>1043</v>
      </c>
      <c r="B813" s="21" t="s">
        <v>1090</v>
      </c>
      <c r="C813" s="21" t="s">
        <v>319</v>
      </c>
      <c r="D813" s="21">
        <v>19</v>
      </c>
      <c r="E813" s="21" t="s">
        <v>299</v>
      </c>
      <c r="F813" s="21" t="s">
        <v>300</v>
      </c>
      <c r="G813" s="21" t="s">
        <v>1138</v>
      </c>
      <c r="H813" s="40">
        <v>0</v>
      </c>
      <c r="I813" s="40">
        <v>800</v>
      </c>
      <c r="J813" s="40">
        <v>1560040.14</v>
      </c>
      <c r="K813" s="21"/>
    </row>
    <row r="814" ht="97.2" hidden="1" spans="1:11">
      <c r="A814" s="21" t="s">
        <v>1043</v>
      </c>
      <c r="B814" s="21" t="s">
        <v>1090</v>
      </c>
      <c r="C814" s="21" t="s">
        <v>319</v>
      </c>
      <c r="D814" s="21">
        <v>19</v>
      </c>
      <c r="E814" s="21" t="s">
        <v>299</v>
      </c>
      <c r="F814" s="21" t="s">
        <v>300</v>
      </c>
      <c r="G814" s="21" t="s">
        <v>1139</v>
      </c>
      <c r="H814" s="40">
        <v>0</v>
      </c>
      <c r="I814" s="40">
        <v>664.84</v>
      </c>
      <c r="J814" s="40">
        <v>1559375.3</v>
      </c>
      <c r="K814" s="21"/>
    </row>
    <row r="815" ht="97.2" hidden="1" spans="1:11">
      <c r="A815" s="21" t="s">
        <v>1043</v>
      </c>
      <c r="B815" s="21" t="s">
        <v>1090</v>
      </c>
      <c r="C815" s="21" t="s">
        <v>319</v>
      </c>
      <c r="D815" s="21">
        <v>19</v>
      </c>
      <c r="E815" s="21" t="s">
        <v>299</v>
      </c>
      <c r="F815" s="21" t="s">
        <v>300</v>
      </c>
      <c r="G815" s="21" t="s">
        <v>1140</v>
      </c>
      <c r="H815" s="40">
        <v>0</v>
      </c>
      <c r="I815" s="40">
        <v>1000</v>
      </c>
      <c r="J815" s="40">
        <v>1558375.3</v>
      </c>
      <c r="K815" s="21"/>
    </row>
    <row r="816" ht="97.2" hidden="1" spans="1:11">
      <c r="A816" s="21" t="s">
        <v>1043</v>
      </c>
      <c r="B816" s="21" t="s">
        <v>1090</v>
      </c>
      <c r="C816" s="21" t="s">
        <v>319</v>
      </c>
      <c r="D816" s="21">
        <v>19</v>
      </c>
      <c r="E816" s="21" t="s">
        <v>299</v>
      </c>
      <c r="F816" s="21" t="s">
        <v>300</v>
      </c>
      <c r="G816" s="21" t="s">
        <v>460</v>
      </c>
      <c r="H816" s="40">
        <v>0</v>
      </c>
      <c r="I816" s="40">
        <v>291</v>
      </c>
      <c r="J816" s="40">
        <v>1558084.3</v>
      </c>
      <c r="K816" s="21"/>
    </row>
    <row r="817" ht="97.2" hidden="1" spans="1:11">
      <c r="A817" s="21" t="s">
        <v>1043</v>
      </c>
      <c r="B817" s="21" t="s">
        <v>1090</v>
      </c>
      <c r="C817" s="21" t="s">
        <v>319</v>
      </c>
      <c r="D817" s="21">
        <v>19</v>
      </c>
      <c r="E817" s="21" t="s">
        <v>299</v>
      </c>
      <c r="F817" s="21" t="s">
        <v>300</v>
      </c>
      <c r="G817" s="21" t="s">
        <v>1141</v>
      </c>
      <c r="H817" s="40">
        <v>0</v>
      </c>
      <c r="I817" s="40">
        <v>1779.94</v>
      </c>
      <c r="J817" s="40">
        <v>1556304.36</v>
      </c>
      <c r="K817" s="21"/>
    </row>
    <row r="818" ht="97.2" hidden="1" spans="1:11">
      <c r="A818" s="21" t="s">
        <v>1043</v>
      </c>
      <c r="B818" s="21" t="s">
        <v>1090</v>
      </c>
      <c r="C818" s="21" t="s">
        <v>319</v>
      </c>
      <c r="D818" s="21">
        <v>19</v>
      </c>
      <c r="E818" s="21" t="s">
        <v>299</v>
      </c>
      <c r="F818" s="21" t="s">
        <v>300</v>
      </c>
      <c r="G818" s="21" t="s">
        <v>1142</v>
      </c>
      <c r="H818" s="40">
        <v>0</v>
      </c>
      <c r="I818" s="40">
        <v>6432.25</v>
      </c>
      <c r="J818" s="40">
        <v>1549872.11</v>
      </c>
      <c r="K818" s="21"/>
    </row>
    <row r="819" ht="97.2" hidden="1" spans="1:11">
      <c r="A819" s="21" t="s">
        <v>1043</v>
      </c>
      <c r="B819" s="21" t="s">
        <v>1090</v>
      </c>
      <c r="C819" s="21" t="s">
        <v>319</v>
      </c>
      <c r="D819" s="21">
        <v>19</v>
      </c>
      <c r="E819" s="21" t="s">
        <v>299</v>
      </c>
      <c r="F819" s="21" t="s">
        <v>300</v>
      </c>
      <c r="G819" s="21" t="s">
        <v>1143</v>
      </c>
      <c r="H819" s="40">
        <v>0</v>
      </c>
      <c r="I819" s="40">
        <v>1667</v>
      </c>
      <c r="J819" s="40">
        <v>1548205.11</v>
      </c>
      <c r="K819" s="21"/>
    </row>
    <row r="820" ht="97.2" hidden="1" spans="1:11">
      <c r="A820" s="21" t="s">
        <v>1043</v>
      </c>
      <c r="B820" s="21" t="s">
        <v>1090</v>
      </c>
      <c r="C820" s="21" t="s">
        <v>319</v>
      </c>
      <c r="D820" s="21">
        <v>19</v>
      </c>
      <c r="E820" s="21" t="s">
        <v>299</v>
      </c>
      <c r="F820" s="21" t="s">
        <v>300</v>
      </c>
      <c r="G820" s="21" t="s">
        <v>473</v>
      </c>
      <c r="H820" s="40">
        <v>0</v>
      </c>
      <c r="I820" s="40">
        <v>5847.83</v>
      </c>
      <c r="J820" s="40">
        <v>1542357.28</v>
      </c>
      <c r="K820" s="21"/>
    </row>
    <row r="821" ht="97.2" hidden="1" spans="1:11">
      <c r="A821" s="21" t="s">
        <v>1043</v>
      </c>
      <c r="B821" s="21" t="s">
        <v>1090</v>
      </c>
      <c r="C821" s="21" t="s">
        <v>319</v>
      </c>
      <c r="D821" s="21">
        <v>19</v>
      </c>
      <c r="E821" s="21" t="s">
        <v>299</v>
      </c>
      <c r="F821" s="21" t="s">
        <v>300</v>
      </c>
      <c r="G821" s="21" t="s">
        <v>558</v>
      </c>
      <c r="H821" s="40">
        <v>0</v>
      </c>
      <c r="I821" s="40">
        <v>893.55</v>
      </c>
      <c r="J821" s="40">
        <v>1541463.73</v>
      </c>
      <c r="K821" s="21"/>
    </row>
    <row r="822" ht="97.2" hidden="1" spans="1:11">
      <c r="A822" s="21" t="s">
        <v>1043</v>
      </c>
      <c r="B822" s="21" t="s">
        <v>1090</v>
      </c>
      <c r="C822" s="21" t="s">
        <v>319</v>
      </c>
      <c r="D822" s="21">
        <v>19</v>
      </c>
      <c r="E822" s="21" t="s">
        <v>299</v>
      </c>
      <c r="F822" s="21" t="s">
        <v>300</v>
      </c>
      <c r="G822" s="21" t="s">
        <v>632</v>
      </c>
      <c r="H822" s="40">
        <v>0</v>
      </c>
      <c r="I822" s="40">
        <v>1973.59</v>
      </c>
      <c r="J822" s="40">
        <v>1539490.14</v>
      </c>
      <c r="K822" s="21"/>
    </row>
    <row r="823" ht="97.2" hidden="1" spans="1:11">
      <c r="A823" s="21" t="s">
        <v>1043</v>
      </c>
      <c r="B823" s="21" t="s">
        <v>1090</v>
      </c>
      <c r="C823" s="21" t="s">
        <v>319</v>
      </c>
      <c r="D823" s="21">
        <v>19</v>
      </c>
      <c r="E823" s="21" t="s">
        <v>299</v>
      </c>
      <c r="F823" s="21" t="s">
        <v>300</v>
      </c>
      <c r="G823" s="21" t="s">
        <v>1144</v>
      </c>
      <c r="H823" s="40">
        <v>0</v>
      </c>
      <c r="I823" s="40">
        <v>1719.95</v>
      </c>
      <c r="J823" s="40">
        <v>1537770.19</v>
      </c>
      <c r="K823" s="21"/>
    </row>
    <row r="824" ht="97.2" hidden="1" spans="1:11">
      <c r="A824" s="21" t="s">
        <v>1043</v>
      </c>
      <c r="B824" s="21" t="s">
        <v>1090</v>
      </c>
      <c r="C824" s="21" t="s">
        <v>319</v>
      </c>
      <c r="D824" s="21">
        <v>19</v>
      </c>
      <c r="E824" s="21" t="s">
        <v>299</v>
      </c>
      <c r="F824" s="21" t="s">
        <v>300</v>
      </c>
      <c r="G824" s="21" t="s">
        <v>1145</v>
      </c>
      <c r="H824" s="40">
        <v>0</v>
      </c>
      <c r="I824" s="40">
        <v>1275</v>
      </c>
      <c r="J824" s="40">
        <v>1536495.19</v>
      </c>
      <c r="K824" s="21"/>
    </row>
    <row r="825" ht="97.2" hidden="1" spans="1:11">
      <c r="A825" s="21" t="s">
        <v>1043</v>
      </c>
      <c r="B825" s="21" t="s">
        <v>1090</v>
      </c>
      <c r="C825" s="21" t="s">
        <v>319</v>
      </c>
      <c r="D825" s="21">
        <v>19</v>
      </c>
      <c r="E825" s="21" t="s">
        <v>299</v>
      </c>
      <c r="F825" s="21" t="s">
        <v>300</v>
      </c>
      <c r="G825" s="21" t="s">
        <v>1146</v>
      </c>
      <c r="H825" s="40">
        <v>0</v>
      </c>
      <c r="I825" s="40">
        <v>2400</v>
      </c>
      <c r="J825" s="40">
        <v>1534095.19</v>
      </c>
      <c r="K825" s="21"/>
    </row>
    <row r="826" ht="97.2" hidden="1" spans="1:11">
      <c r="A826" s="21" t="s">
        <v>1043</v>
      </c>
      <c r="B826" s="21" t="s">
        <v>1090</v>
      </c>
      <c r="C826" s="21" t="s">
        <v>319</v>
      </c>
      <c r="D826" s="21">
        <v>19</v>
      </c>
      <c r="E826" s="21" t="s">
        <v>299</v>
      </c>
      <c r="F826" s="21" t="s">
        <v>300</v>
      </c>
      <c r="G826" s="21" t="s">
        <v>1147</v>
      </c>
      <c r="H826" s="40">
        <v>0</v>
      </c>
      <c r="I826" s="40">
        <v>583</v>
      </c>
      <c r="J826" s="40">
        <v>1533512.19</v>
      </c>
      <c r="K826" s="21"/>
    </row>
    <row r="827" ht="97.2" hidden="1" spans="1:11">
      <c r="A827" s="21" t="s">
        <v>1043</v>
      </c>
      <c r="B827" s="21" t="s">
        <v>1090</v>
      </c>
      <c r="C827" s="21" t="s">
        <v>319</v>
      </c>
      <c r="D827" s="21">
        <v>19</v>
      </c>
      <c r="E827" s="21" t="s">
        <v>299</v>
      </c>
      <c r="F827" s="21" t="s">
        <v>300</v>
      </c>
      <c r="G827" s="21" t="s">
        <v>565</v>
      </c>
      <c r="H827" s="40">
        <v>0</v>
      </c>
      <c r="I827" s="40">
        <v>1123.79</v>
      </c>
      <c r="J827" s="40">
        <v>1532388.4</v>
      </c>
      <c r="K827" s="21"/>
    </row>
    <row r="828" ht="97.2" hidden="1" spans="1:11">
      <c r="A828" s="21" t="s">
        <v>1043</v>
      </c>
      <c r="B828" s="21" t="s">
        <v>1090</v>
      </c>
      <c r="C828" s="21" t="s">
        <v>319</v>
      </c>
      <c r="D828" s="21">
        <v>19</v>
      </c>
      <c r="E828" s="21" t="s">
        <v>299</v>
      </c>
      <c r="F828" s="21" t="s">
        <v>300</v>
      </c>
      <c r="G828" s="21" t="s">
        <v>566</v>
      </c>
      <c r="H828" s="40">
        <v>0</v>
      </c>
      <c r="I828" s="40">
        <v>786.16</v>
      </c>
      <c r="J828" s="40">
        <v>1531602.24</v>
      </c>
      <c r="K828" s="21"/>
    </row>
    <row r="829" ht="97.2" hidden="1" spans="1:11">
      <c r="A829" s="21" t="s">
        <v>1043</v>
      </c>
      <c r="B829" s="21" t="s">
        <v>1090</v>
      </c>
      <c r="C829" s="21" t="s">
        <v>319</v>
      </c>
      <c r="D829" s="21">
        <v>19</v>
      </c>
      <c r="E829" s="21" t="s">
        <v>299</v>
      </c>
      <c r="F829" s="21" t="s">
        <v>300</v>
      </c>
      <c r="G829" s="21" t="s">
        <v>567</v>
      </c>
      <c r="H829" s="40">
        <v>0</v>
      </c>
      <c r="I829" s="40">
        <v>500</v>
      </c>
      <c r="J829" s="40">
        <v>1531102.24</v>
      </c>
      <c r="K829" s="21"/>
    </row>
    <row r="830" ht="97.2" hidden="1" spans="1:11">
      <c r="A830" s="21" t="s">
        <v>1043</v>
      </c>
      <c r="B830" s="21" t="s">
        <v>1090</v>
      </c>
      <c r="C830" s="21" t="s">
        <v>319</v>
      </c>
      <c r="D830" s="21">
        <v>19</v>
      </c>
      <c r="E830" s="21" t="s">
        <v>299</v>
      </c>
      <c r="F830" s="21" t="s">
        <v>300</v>
      </c>
      <c r="G830" s="21" t="s">
        <v>1148</v>
      </c>
      <c r="H830" s="40">
        <v>0</v>
      </c>
      <c r="I830" s="40">
        <v>5165.05</v>
      </c>
      <c r="J830" s="40">
        <v>1525937.19</v>
      </c>
      <c r="K830" s="21"/>
    </row>
    <row r="831" ht="97.2" hidden="1" spans="1:11">
      <c r="A831" s="21" t="s">
        <v>1043</v>
      </c>
      <c r="B831" s="21" t="s">
        <v>1090</v>
      </c>
      <c r="C831" s="21" t="s">
        <v>319</v>
      </c>
      <c r="D831" s="21">
        <v>19</v>
      </c>
      <c r="E831" s="21" t="s">
        <v>299</v>
      </c>
      <c r="F831" s="21" t="s">
        <v>300</v>
      </c>
      <c r="G831" s="21" t="s">
        <v>1149</v>
      </c>
      <c r="H831" s="40">
        <v>0</v>
      </c>
      <c r="I831" s="40">
        <v>150</v>
      </c>
      <c r="J831" s="40">
        <v>1525787.19</v>
      </c>
      <c r="K831" s="21"/>
    </row>
    <row r="832" ht="97.2" hidden="1" spans="1:11">
      <c r="A832" s="21" t="s">
        <v>1043</v>
      </c>
      <c r="B832" s="21" t="s">
        <v>1090</v>
      </c>
      <c r="C832" s="21" t="s">
        <v>319</v>
      </c>
      <c r="D832" s="21">
        <v>19</v>
      </c>
      <c r="E832" s="21" t="s">
        <v>299</v>
      </c>
      <c r="F832" s="21" t="s">
        <v>300</v>
      </c>
      <c r="G832" s="21" t="s">
        <v>1150</v>
      </c>
      <c r="H832" s="40">
        <v>0</v>
      </c>
      <c r="I832" s="40">
        <v>1056</v>
      </c>
      <c r="J832" s="40">
        <v>1524731.19</v>
      </c>
      <c r="K832" s="21"/>
    </row>
    <row r="833" ht="97.2" hidden="1" spans="1:11">
      <c r="A833" s="21" t="s">
        <v>1043</v>
      </c>
      <c r="B833" s="21" t="s">
        <v>1090</v>
      </c>
      <c r="C833" s="21" t="s">
        <v>319</v>
      </c>
      <c r="D833" s="21">
        <v>19</v>
      </c>
      <c r="E833" s="21" t="s">
        <v>299</v>
      </c>
      <c r="F833" s="21" t="s">
        <v>300</v>
      </c>
      <c r="G833" s="21" t="s">
        <v>1151</v>
      </c>
      <c r="H833" s="40">
        <v>0</v>
      </c>
      <c r="I833" s="40">
        <v>93.75</v>
      </c>
      <c r="J833" s="40">
        <v>1524637.44</v>
      </c>
      <c r="K833" s="21"/>
    </row>
    <row r="834" ht="97.2" hidden="1" spans="1:11">
      <c r="A834" s="21" t="s">
        <v>1043</v>
      </c>
      <c r="B834" s="21" t="s">
        <v>1090</v>
      </c>
      <c r="C834" s="21" t="s">
        <v>319</v>
      </c>
      <c r="D834" s="21">
        <v>19</v>
      </c>
      <c r="E834" s="21" t="s">
        <v>299</v>
      </c>
      <c r="F834" s="21" t="s">
        <v>300</v>
      </c>
      <c r="G834" s="21" t="s">
        <v>1152</v>
      </c>
      <c r="H834" s="40">
        <v>0</v>
      </c>
      <c r="I834" s="40">
        <v>1336.48</v>
      </c>
      <c r="J834" s="40">
        <v>1523300.96</v>
      </c>
      <c r="K834" s="21"/>
    </row>
    <row r="835" ht="97.2" hidden="1" spans="1:11">
      <c r="A835" s="21" t="s">
        <v>1043</v>
      </c>
      <c r="B835" s="21" t="s">
        <v>1090</v>
      </c>
      <c r="C835" s="21" t="s">
        <v>319</v>
      </c>
      <c r="D835" s="21">
        <v>19</v>
      </c>
      <c r="E835" s="21" t="s">
        <v>299</v>
      </c>
      <c r="F835" s="21" t="s">
        <v>300</v>
      </c>
      <c r="G835" s="21" t="s">
        <v>1153</v>
      </c>
      <c r="H835" s="40">
        <v>0</v>
      </c>
      <c r="I835" s="40">
        <v>679.2</v>
      </c>
      <c r="J835" s="40">
        <v>1522621.76</v>
      </c>
      <c r="K835" s="21"/>
    </row>
    <row r="836" ht="97.2" hidden="1" spans="1:11">
      <c r="A836" s="21" t="s">
        <v>1043</v>
      </c>
      <c r="B836" s="21" t="s">
        <v>1090</v>
      </c>
      <c r="C836" s="21" t="s">
        <v>319</v>
      </c>
      <c r="D836" s="21">
        <v>19</v>
      </c>
      <c r="E836" s="21" t="s">
        <v>299</v>
      </c>
      <c r="F836" s="21" t="s">
        <v>300</v>
      </c>
      <c r="G836" s="21" t="s">
        <v>1154</v>
      </c>
      <c r="H836" s="40">
        <v>0</v>
      </c>
      <c r="I836" s="40">
        <v>1028.6</v>
      </c>
      <c r="J836" s="40">
        <v>1521593.16</v>
      </c>
      <c r="K836" s="21"/>
    </row>
    <row r="837" ht="97.2" hidden="1" spans="1:11">
      <c r="A837" s="21" t="s">
        <v>1043</v>
      </c>
      <c r="B837" s="21" t="s">
        <v>1090</v>
      </c>
      <c r="C837" s="21" t="s">
        <v>319</v>
      </c>
      <c r="D837" s="21">
        <v>19</v>
      </c>
      <c r="E837" s="21" t="s">
        <v>299</v>
      </c>
      <c r="F837" s="21" t="s">
        <v>300</v>
      </c>
      <c r="G837" s="21" t="s">
        <v>1155</v>
      </c>
      <c r="H837" s="40">
        <v>0</v>
      </c>
      <c r="I837" s="40">
        <v>2179.5</v>
      </c>
      <c r="J837" s="40">
        <v>1519413.66</v>
      </c>
      <c r="K837" s="21"/>
    </row>
    <row r="838" ht="97.2" hidden="1" spans="1:11">
      <c r="A838" s="21" t="s">
        <v>1043</v>
      </c>
      <c r="B838" s="21" t="s">
        <v>1090</v>
      </c>
      <c r="C838" s="21" t="s">
        <v>319</v>
      </c>
      <c r="D838" s="21">
        <v>19</v>
      </c>
      <c r="E838" s="21" t="s">
        <v>299</v>
      </c>
      <c r="F838" s="21" t="s">
        <v>300</v>
      </c>
      <c r="G838" s="21" t="s">
        <v>1156</v>
      </c>
      <c r="H838" s="40">
        <v>0</v>
      </c>
      <c r="I838" s="40">
        <v>1282.5</v>
      </c>
      <c r="J838" s="40">
        <v>1518131.16</v>
      </c>
      <c r="K838" s="21"/>
    </row>
    <row r="839" ht="97.2" hidden="1" spans="1:11">
      <c r="A839" s="21" t="s">
        <v>1043</v>
      </c>
      <c r="B839" s="21" t="s">
        <v>1090</v>
      </c>
      <c r="C839" s="21" t="s">
        <v>319</v>
      </c>
      <c r="D839" s="21">
        <v>19</v>
      </c>
      <c r="E839" s="21" t="s">
        <v>299</v>
      </c>
      <c r="F839" s="21" t="s">
        <v>300</v>
      </c>
      <c r="G839" s="21" t="s">
        <v>1157</v>
      </c>
      <c r="H839" s="40">
        <v>0</v>
      </c>
      <c r="I839" s="40">
        <v>188.68</v>
      </c>
      <c r="J839" s="40">
        <v>1517942.48</v>
      </c>
      <c r="K839" s="21"/>
    </row>
    <row r="840" ht="97.2" hidden="1" spans="1:11">
      <c r="A840" s="21" t="s">
        <v>1043</v>
      </c>
      <c r="B840" s="21" t="s">
        <v>1090</v>
      </c>
      <c r="C840" s="21" t="s">
        <v>319</v>
      </c>
      <c r="D840" s="21">
        <v>19</v>
      </c>
      <c r="E840" s="21" t="s">
        <v>299</v>
      </c>
      <c r="F840" s="21" t="s">
        <v>300</v>
      </c>
      <c r="G840" s="21" t="s">
        <v>1158</v>
      </c>
      <c r="H840" s="40">
        <v>0</v>
      </c>
      <c r="I840" s="40">
        <v>585.71</v>
      </c>
      <c r="J840" s="40">
        <v>1517356.77</v>
      </c>
      <c r="K840" s="21"/>
    </row>
    <row r="841" ht="97.2" hidden="1" spans="1:11">
      <c r="A841" s="21" t="s">
        <v>1043</v>
      </c>
      <c r="B841" s="21" t="s">
        <v>1090</v>
      </c>
      <c r="C841" s="21" t="s">
        <v>319</v>
      </c>
      <c r="D841" s="21">
        <v>19</v>
      </c>
      <c r="E841" s="21" t="s">
        <v>299</v>
      </c>
      <c r="F841" s="21" t="s">
        <v>300</v>
      </c>
      <c r="G841" s="21" t="s">
        <v>1159</v>
      </c>
      <c r="H841" s="40">
        <v>0</v>
      </c>
      <c r="I841" s="40">
        <v>317.14</v>
      </c>
      <c r="J841" s="40">
        <v>1517039.63</v>
      </c>
      <c r="K841" s="21"/>
    </row>
    <row r="842" ht="97.2" hidden="1" spans="1:11">
      <c r="A842" s="21" t="s">
        <v>1043</v>
      </c>
      <c r="B842" s="21" t="s">
        <v>1090</v>
      </c>
      <c r="C842" s="21" t="s">
        <v>319</v>
      </c>
      <c r="D842" s="21">
        <v>19</v>
      </c>
      <c r="E842" s="21" t="s">
        <v>299</v>
      </c>
      <c r="F842" s="21" t="s">
        <v>300</v>
      </c>
      <c r="G842" s="21" t="s">
        <v>1160</v>
      </c>
      <c r="H842" s="40">
        <v>0</v>
      </c>
      <c r="I842" s="40">
        <v>487.54</v>
      </c>
      <c r="J842" s="40">
        <v>1516552.09</v>
      </c>
      <c r="K842" s="21"/>
    </row>
    <row r="843" ht="97.2" hidden="1" spans="1:11">
      <c r="A843" s="21" t="s">
        <v>1043</v>
      </c>
      <c r="B843" s="21" t="s">
        <v>1090</v>
      </c>
      <c r="C843" s="21" t="s">
        <v>319</v>
      </c>
      <c r="D843" s="21">
        <v>19</v>
      </c>
      <c r="E843" s="21" t="s">
        <v>299</v>
      </c>
      <c r="F843" s="21" t="s">
        <v>300</v>
      </c>
      <c r="G843" s="21" t="s">
        <v>1161</v>
      </c>
      <c r="H843" s="40">
        <v>0</v>
      </c>
      <c r="I843" s="40">
        <v>254.29</v>
      </c>
      <c r="J843" s="40">
        <v>1516297.8</v>
      </c>
      <c r="K843" s="21"/>
    </row>
    <row r="844" ht="97.2" hidden="1" spans="1:11">
      <c r="A844" s="21" t="s">
        <v>1043</v>
      </c>
      <c r="B844" s="21" t="s">
        <v>1090</v>
      </c>
      <c r="C844" s="21" t="s">
        <v>319</v>
      </c>
      <c r="D844" s="21">
        <v>19</v>
      </c>
      <c r="E844" s="21" t="s">
        <v>299</v>
      </c>
      <c r="F844" s="21" t="s">
        <v>300</v>
      </c>
      <c r="G844" s="21" t="s">
        <v>1162</v>
      </c>
      <c r="H844" s="40">
        <v>0</v>
      </c>
      <c r="I844" s="40">
        <v>716.43</v>
      </c>
      <c r="J844" s="40">
        <v>1515581.37</v>
      </c>
      <c r="K844" s="21"/>
    </row>
    <row r="845" ht="97.2" hidden="1" spans="1:11">
      <c r="A845" s="21" t="s">
        <v>1043</v>
      </c>
      <c r="B845" s="21" t="s">
        <v>1090</v>
      </c>
      <c r="C845" s="21" t="s">
        <v>319</v>
      </c>
      <c r="D845" s="21">
        <v>19</v>
      </c>
      <c r="E845" s="21" t="s">
        <v>299</v>
      </c>
      <c r="F845" s="21" t="s">
        <v>300</v>
      </c>
      <c r="G845" s="21" t="s">
        <v>1163</v>
      </c>
      <c r="H845" s="40">
        <v>0</v>
      </c>
      <c r="I845" s="40">
        <v>323.14</v>
      </c>
      <c r="J845" s="40">
        <v>1515258.23</v>
      </c>
      <c r="K845" s="21"/>
    </row>
    <row r="846" ht="97.2" hidden="1" spans="1:11">
      <c r="A846" s="21" t="s">
        <v>1043</v>
      </c>
      <c r="B846" s="21" t="s">
        <v>1090</v>
      </c>
      <c r="C846" s="21" t="s">
        <v>319</v>
      </c>
      <c r="D846" s="21">
        <v>19</v>
      </c>
      <c r="E846" s="21" t="s">
        <v>299</v>
      </c>
      <c r="F846" s="21" t="s">
        <v>300</v>
      </c>
      <c r="G846" s="21" t="s">
        <v>1164</v>
      </c>
      <c r="H846" s="40">
        <v>0</v>
      </c>
      <c r="I846" s="40">
        <v>250</v>
      </c>
      <c r="J846" s="40">
        <v>1515008.23</v>
      </c>
      <c r="K846" s="21"/>
    </row>
    <row r="847" ht="97.2" hidden="1" spans="1:11">
      <c r="A847" s="21" t="s">
        <v>1043</v>
      </c>
      <c r="B847" s="21" t="s">
        <v>1090</v>
      </c>
      <c r="C847" s="21" t="s">
        <v>319</v>
      </c>
      <c r="D847" s="21">
        <v>19</v>
      </c>
      <c r="E847" s="21" t="s">
        <v>299</v>
      </c>
      <c r="F847" s="21" t="s">
        <v>300</v>
      </c>
      <c r="G847" s="21" t="s">
        <v>1165</v>
      </c>
      <c r="H847" s="40">
        <v>0</v>
      </c>
      <c r="I847" s="40">
        <v>433.33</v>
      </c>
      <c r="J847" s="40">
        <v>1514574.9</v>
      </c>
      <c r="K847" s="21"/>
    </row>
    <row r="848" ht="97.2" hidden="1" spans="1:11">
      <c r="A848" s="21" t="s">
        <v>1043</v>
      </c>
      <c r="B848" s="21" t="s">
        <v>1090</v>
      </c>
      <c r="C848" s="21" t="s">
        <v>319</v>
      </c>
      <c r="D848" s="21">
        <v>19</v>
      </c>
      <c r="E848" s="21" t="s">
        <v>299</v>
      </c>
      <c r="F848" s="21" t="s">
        <v>300</v>
      </c>
      <c r="G848" s="21" t="s">
        <v>1166</v>
      </c>
      <c r="H848" s="40">
        <v>0</v>
      </c>
      <c r="I848" s="40">
        <v>2940</v>
      </c>
      <c r="J848" s="40">
        <v>1511634.9</v>
      </c>
      <c r="K848" s="21"/>
    </row>
    <row r="849" ht="97.2" hidden="1" spans="1:11">
      <c r="A849" s="21" t="s">
        <v>1043</v>
      </c>
      <c r="B849" s="21" t="s">
        <v>1090</v>
      </c>
      <c r="C849" s="21" t="s">
        <v>319</v>
      </c>
      <c r="D849" s="21">
        <v>19</v>
      </c>
      <c r="E849" s="21" t="s">
        <v>299</v>
      </c>
      <c r="F849" s="21" t="s">
        <v>300</v>
      </c>
      <c r="G849" s="21" t="s">
        <v>1167</v>
      </c>
      <c r="H849" s="40">
        <v>0</v>
      </c>
      <c r="I849" s="40">
        <v>2357.14</v>
      </c>
      <c r="J849" s="40">
        <v>1509277.76</v>
      </c>
      <c r="K849" s="21"/>
    </row>
    <row r="850" ht="97.2" hidden="1" spans="1:11">
      <c r="A850" s="21" t="s">
        <v>1043</v>
      </c>
      <c r="B850" s="21" t="s">
        <v>1090</v>
      </c>
      <c r="C850" s="21" t="s">
        <v>319</v>
      </c>
      <c r="D850" s="21">
        <v>19</v>
      </c>
      <c r="E850" s="21" t="s">
        <v>299</v>
      </c>
      <c r="F850" s="21" t="s">
        <v>300</v>
      </c>
      <c r="G850" s="21" t="s">
        <v>1168</v>
      </c>
      <c r="H850" s="40">
        <v>0</v>
      </c>
      <c r="I850" s="40">
        <v>3091.2</v>
      </c>
      <c r="J850" s="40">
        <v>1506186.56</v>
      </c>
      <c r="K850" s="21"/>
    </row>
    <row r="851" ht="97.2" hidden="1" spans="1:11">
      <c r="A851" s="21" t="s">
        <v>1043</v>
      </c>
      <c r="B851" s="21" t="s">
        <v>1090</v>
      </c>
      <c r="C851" s="21" t="s">
        <v>319</v>
      </c>
      <c r="D851" s="21">
        <v>19</v>
      </c>
      <c r="E851" s="21" t="s">
        <v>299</v>
      </c>
      <c r="F851" s="21" t="s">
        <v>300</v>
      </c>
      <c r="G851" s="21" t="s">
        <v>1169</v>
      </c>
      <c r="H851" s="40">
        <v>0</v>
      </c>
      <c r="I851" s="40">
        <v>582.52</v>
      </c>
      <c r="J851" s="40">
        <v>1505604.04</v>
      </c>
      <c r="K851" s="21"/>
    </row>
    <row r="852" ht="97.2" hidden="1" spans="1:11">
      <c r="A852" s="21" t="s">
        <v>1043</v>
      </c>
      <c r="B852" s="21" t="s">
        <v>1090</v>
      </c>
      <c r="C852" s="21" t="s">
        <v>319</v>
      </c>
      <c r="D852" s="21">
        <v>19</v>
      </c>
      <c r="E852" s="21" t="s">
        <v>299</v>
      </c>
      <c r="F852" s="21" t="s">
        <v>300</v>
      </c>
      <c r="G852" s="21" t="s">
        <v>1170</v>
      </c>
      <c r="H852" s="40">
        <v>0</v>
      </c>
      <c r="I852" s="40">
        <v>102.24</v>
      </c>
      <c r="J852" s="40">
        <v>1505501.8</v>
      </c>
      <c r="K852" s="21"/>
    </row>
    <row r="853" ht="97.2" hidden="1" spans="1:11">
      <c r="A853" s="21" t="s">
        <v>1043</v>
      </c>
      <c r="B853" s="21" t="s">
        <v>1090</v>
      </c>
      <c r="C853" s="21" t="s">
        <v>319</v>
      </c>
      <c r="D853" s="21">
        <v>19</v>
      </c>
      <c r="E853" s="21" t="s">
        <v>299</v>
      </c>
      <c r="F853" s="21" t="s">
        <v>300</v>
      </c>
      <c r="G853" s="21" t="s">
        <v>1171</v>
      </c>
      <c r="H853" s="40">
        <v>0</v>
      </c>
      <c r="I853" s="40">
        <v>167.52</v>
      </c>
      <c r="J853" s="40">
        <v>1505334.28</v>
      </c>
      <c r="K853" s="21"/>
    </row>
    <row r="854" ht="97.2" hidden="1" spans="1:11">
      <c r="A854" s="21" t="s">
        <v>1043</v>
      </c>
      <c r="B854" s="21" t="s">
        <v>1090</v>
      </c>
      <c r="C854" s="21" t="s">
        <v>319</v>
      </c>
      <c r="D854" s="21">
        <v>19</v>
      </c>
      <c r="E854" s="21" t="s">
        <v>299</v>
      </c>
      <c r="F854" s="21" t="s">
        <v>300</v>
      </c>
      <c r="G854" s="21" t="s">
        <v>1172</v>
      </c>
      <c r="H854" s="40">
        <v>0</v>
      </c>
      <c r="I854" s="40">
        <v>403.44</v>
      </c>
      <c r="J854" s="40">
        <v>1504930.84</v>
      </c>
      <c r="K854" s="21"/>
    </row>
    <row r="855" ht="97.2" hidden="1" spans="1:11">
      <c r="A855" s="21" t="s">
        <v>1043</v>
      </c>
      <c r="B855" s="21" t="s">
        <v>1090</v>
      </c>
      <c r="C855" s="21" t="s">
        <v>319</v>
      </c>
      <c r="D855" s="21">
        <v>19</v>
      </c>
      <c r="E855" s="21" t="s">
        <v>299</v>
      </c>
      <c r="F855" s="21" t="s">
        <v>300</v>
      </c>
      <c r="G855" s="21" t="s">
        <v>1173</v>
      </c>
      <c r="H855" s="40">
        <v>0</v>
      </c>
      <c r="I855" s="40">
        <v>509.4</v>
      </c>
      <c r="J855" s="40">
        <v>1504421.44</v>
      </c>
      <c r="K855" s="21"/>
    </row>
    <row r="856" ht="97.2" hidden="1" spans="1:11">
      <c r="A856" s="21" t="s">
        <v>1043</v>
      </c>
      <c r="B856" s="21" t="s">
        <v>1090</v>
      </c>
      <c r="C856" s="21" t="s">
        <v>319</v>
      </c>
      <c r="D856" s="21">
        <v>19</v>
      </c>
      <c r="E856" s="21" t="s">
        <v>299</v>
      </c>
      <c r="F856" s="21" t="s">
        <v>300</v>
      </c>
      <c r="G856" s="21" t="s">
        <v>1174</v>
      </c>
      <c r="H856" s="40">
        <v>0</v>
      </c>
      <c r="I856" s="40">
        <v>340.18</v>
      </c>
      <c r="J856" s="40">
        <v>1504081.26</v>
      </c>
      <c r="K856" s="21"/>
    </row>
    <row r="857" ht="97.2" hidden="1" spans="1:11">
      <c r="A857" s="21" t="s">
        <v>1043</v>
      </c>
      <c r="B857" s="21" t="s">
        <v>1090</v>
      </c>
      <c r="C857" s="21" t="s">
        <v>319</v>
      </c>
      <c r="D857" s="21">
        <v>19</v>
      </c>
      <c r="E857" s="21" t="s">
        <v>299</v>
      </c>
      <c r="F857" s="21" t="s">
        <v>300</v>
      </c>
      <c r="G857" s="21" t="s">
        <v>1175</v>
      </c>
      <c r="H857" s="40">
        <v>0</v>
      </c>
      <c r="I857" s="40">
        <v>28.38</v>
      </c>
      <c r="J857" s="40">
        <v>1504052.88</v>
      </c>
      <c r="K857" s="21"/>
    </row>
    <row r="858" ht="97.2" hidden="1" spans="1:11">
      <c r="A858" s="21" t="s">
        <v>1043</v>
      </c>
      <c r="B858" s="21" t="s">
        <v>1090</v>
      </c>
      <c r="C858" s="21" t="s">
        <v>319</v>
      </c>
      <c r="D858" s="21">
        <v>19</v>
      </c>
      <c r="E858" s="21" t="s">
        <v>299</v>
      </c>
      <c r="F858" s="21" t="s">
        <v>300</v>
      </c>
      <c r="G858" s="21" t="s">
        <v>1176</v>
      </c>
      <c r="H858" s="40">
        <v>0</v>
      </c>
      <c r="I858" s="40">
        <v>22.68</v>
      </c>
      <c r="J858" s="40">
        <v>1504030.2</v>
      </c>
      <c r="K858" s="21"/>
    </row>
    <row r="859" ht="97.2" hidden="1" spans="1:11">
      <c r="A859" s="21" t="s">
        <v>1043</v>
      </c>
      <c r="B859" s="21" t="s">
        <v>1090</v>
      </c>
      <c r="C859" s="21" t="s">
        <v>319</v>
      </c>
      <c r="D859" s="21">
        <v>19</v>
      </c>
      <c r="E859" s="21" t="s">
        <v>299</v>
      </c>
      <c r="F859" s="21" t="s">
        <v>300</v>
      </c>
      <c r="G859" s="21" t="s">
        <v>1177</v>
      </c>
      <c r="H859" s="40">
        <v>0</v>
      </c>
      <c r="I859" s="40">
        <v>16.92</v>
      </c>
      <c r="J859" s="40">
        <v>1504013.28</v>
      </c>
      <c r="K859" s="21"/>
    </row>
    <row r="860" ht="97.2" hidden="1" spans="1:11">
      <c r="A860" s="21" t="s">
        <v>1043</v>
      </c>
      <c r="B860" s="21" t="s">
        <v>1090</v>
      </c>
      <c r="C860" s="21" t="s">
        <v>319</v>
      </c>
      <c r="D860" s="21">
        <v>19</v>
      </c>
      <c r="E860" s="21" t="s">
        <v>299</v>
      </c>
      <c r="F860" s="21" t="s">
        <v>300</v>
      </c>
      <c r="G860" s="21" t="s">
        <v>1178</v>
      </c>
      <c r="H860" s="40">
        <v>0</v>
      </c>
      <c r="I860" s="40">
        <v>135.04</v>
      </c>
      <c r="J860" s="40">
        <v>1503878.24</v>
      </c>
      <c r="K860" s="21"/>
    </row>
    <row r="861" ht="97.2" hidden="1" spans="1:11">
      <c r="A861" s="21" t="s">
        <v>1043</v>
      </c>
      <c r="B861" s="21" t="s">
        <v>1090</v>
      </c>
      <c r="C861" s="21" t="s">
        <v>319</v>
      </c>
      <c r="D861" s="21">
        <v>19</v>
      </c>
      <c r="E861" s="21" t="s">
        <v>299</v>
      </c>
      <c r="F861" s="21" t="s">
        <v>300</v>
      </c>
      <c r="G861" s="21" t="s">
        <v>1179</v>
      </c>
      <c r="H861" s="40">
        <v>0</v>
      </c>
      <c r="I861" s="40">
        <v>73.5</v>
      </c>
      <c r="J861" s="40">
        <v>1503804.74</v>
      </c>
      <c r="K861" s="21"/>
    </row>
    <row r="862" ht="97.2" hidden="1" spans="1:11">
      <c r="A862" s="21" t="s">
        <v>1043</v>
      </c>
      <c r="B862" s="21" t="s">
        <v>1090</v>
      </c>
      <c r="C862" s="21" t="s">
        <v>319</v>
      </c>
      <c r="D862" s="21">
        <v>19</v>
      </c>
      <c r="E862" s="21" t="s">
        <v>299</v>
      </c>
      <c r="F862" s="21" t="s">
        <v>300</v>
      </c>
      <c r="G862" s="21" t="s">
        <v>1180</v>
      </c>
      <c r="H862" s="40">
        <v>0</v>
      </c>
      <c r="I862" s="40">
        <v>67.24</v>
      </c>
      <c r="J862" s="40">
        <v>1503737.5</v>
      </c>
      <c r="K862" s="21"/>
    </row>
    <row r="863" ht="97.2" hidden="1" spans="1:11">
      <c r="A863" s="21" t="s">
        <v>1043</v>
      </c>
      <c r="B863" s="21" t="s">
        <v>1090</v>
      </c>
      <c r="C863" s="21" t="s">
        <v>319</v>
      </c>
      <c r="D863" s="21">
        <v>19</v>
      </c>
      <c r="E863" s="21" t="s">
        <v>299</v>
      </c>
      <c r="F863" s="21" t="s">
        <v>300</v>
      </c>
      <c r="G863" s="21" t="s">
        <v>1181</v>
      </c>
      <c r="H863" s="40">
        <v>0</v>
      </c>
      <c r="I863" s="40">
        <v>2712</v>
      </c>
      <c r="J863" s="40">
        <v>1501025.5</v>
      </c>
      <c r="K863" s="21"/>
    </row>
    <row r="864" ht="97.2" hidden="1" spans="1:11">
      <c r="A864" s="21" t="s">
        <v>1043</v>
      </c>
      <c r="B864" s="21" t="s">
        <v>1090</v>
      </c>
      <c r="C864" s="21" t="s">
        <v>319</v>
      </c>
      <c r="D864" s="21">
        <v>19</v>
      </c>
      <c r="E864" s="21" t="s">
        <v>299</v>
      </c>
      <c r="F864" s="21" t="s">
        <v>300</v>
      </c>
      <c r="G864" s="21" t="s">
        <v>1182</v>
      </c>
      <c r="H864" s="40">
        <v>0</v>
      </c>
      <c r="I864" s="40">
        <v>500</v>
      </c>
      <c r="J864" s="40">
        <v>1500525.5</v>
      </c>
      <c r="K864" s="21"/>
    </row>
    <row r="865" ht="97.2" hidden="1" spans="1:11">
      <c r="A865" s="21" t="s">
        <v>1043</v>
      </c>
      <c r="B865" s="21" t="s">
        <v>1090</v>
      </c>
      <c r="C865" s="21" t="s">
        <v>319</v>
      </c>
      <c r="D865" s="21">
        <v>19</v>
      </c>
      <c r="E865" s="21" t="s">
        <v>299</v>
      </c>
      <c r="F865" s="21" t="s">
        <v>300</v>
      </c>
      <c r="G865" s="21" t="s">
        <v>1183</v>
      </c>
      <c r="H865" s="40">
        <v>0</v>
      </c>
      <c r="I865" s="40">
        <v>250</v>
      </c>
      <c r="J865" s="40">
        <v>1500275.5</v>
      </c>
      <c r="K865" s="21"/>
    </row>
    <row r="866" ht="97.2" hidden="1" spans="1:11">
      <c r="A866" s="21" t="s">
        <v>1043</v>
      </c>
      <c r="B866" s="21" t="s">
        <v>1090</v>
      </c>
      <c r="C866" s="21" t="s">
        <v>319</v>
      </c>
      <c r="D866" s="21">
        <v>19</v>
      </c>
      <c r="E866" s="21" t="s">
        <v>299</v>
      </c>
      <c r="F866" s="21" t="s">
        <v>300</v>
      </c>
      <c r="G866" s="21" t="s">
        <v>1184</v>
      </c>
      <c r="H866" s="40">
        <v>0</v>
      </c>
      <c r="I866" s="40">
        <v>1401.7</v>
      </c>
      <c r="J866" s="40">
        <v>1498873.8</v>
      </c>
      <c r="K866" s="21"/>
    </row>
    <row r="867" ht="97.2" hidden="1" spans="1:11">
      <c r="A867" s="21" t="s">
        <v>1043</v>
      </c>
      <c r="B867" s="21" t="s">
        <v>1090</v>
      </c>
      <c r="C867" s="21" t="s">
        <v>319</v>
      </c>
      <c r="D867" s="21">
        <v>19</v>
      </c>
      <c r="E867" s="21" t="s">
        <v>299</v>
      </c>
      <c r="F867" s="21" t="s">
        <v>300</v>
      </c>
      <c r="G867" s="21" t="s">
        <v>1185</v>
      </c>
      <c r="H867" s="40">
        <v>0</v>
      </c>
      <c r="I867" s="40">
        <v>2927.6</v>
      </c>
      <c r="J867" s="40">
        <v>1495946.2</v>
      </c>
      <c r="K867" s="21"/>
    </row>
    <row r="868" ht="97.2" hidden="1" spans="1:11">
      <c r="A868" s="21" t="s">
        <v>1043</v>
      </c>
      <c r="B868" s="21" t="s">
        <v>1090</v>
      </c>
      <c r="C868" s="21" t="s">
        <v>319</v>
      </c>
      <c r="D868" s="21">
        <v>19</v>
      </c>
      <c r="E868" s="21" t="s">
        <v>299</v>
      </c>
      <c r="F868" s="21" t="s">
        <v>300</v>
      </c>
      <c r="G868" s="21" t="s">
        <v>1186</v>
      </c>
      <c r="H868" s="40">
        <v>0</v>
      </c>
      <c r="I868" s="40">
        <v>10976.88</v>
      </c>
      <c r="J868" s="40">
        <v>1484969.32</v>
      </c>
      <c r="K868" s="21"/>
    </row>
    <row r="869" ht="97.2" hidden="1" spans="1:11">
      <c r="A869" s="21" t="s">
        <v>1043</v>
      </c>
      <c r="B869" s="21" t="s">
        <v>1090</v>
      </c>
      <c r="C869" s="21" t="s">
        <v>319</v>
      </c>
      <c r="D869" s="21">
        <v>19</v>
      </c>
      <c r="E869" s="21" t="s">
        <v>299</v>
      </c>
      <c r="F869" s="21" t="s">
        <v>300</v>
      </c>
      <c r="G869" s="21" t="s">
        <v>1187</v>
      </c>
      <c r="H869" s="40">
        <v>0</v>
      </c>
      <c r="I869" s="40">
        <v>9200</v>
      </c>
      <c r="J869" s="40">
        <v>1475769.32</v>
      </c>
      <c r="K869" s="21"/>
    </row>
    <row r="870" ht="97.2" hidden="1" spans="1:11">
      <c r="A870" s="21" t="s">
        <v>1043</v>
      </c>
      <c r="B870" s="21" t="s">
        <v>1090</v>
      </c>
      <c r="C870" s="21" t="s">
        <v>319</v>
      </c>
      <c r="D870" s="21">
        <v>19</v>
      </c>
      <c r="E870" s="21" t="s">
        <v>299</v>
      </c>
      <c r="F870" s="21" t="s">
        <v>300</v>
      </c>
      <c r="G870" s="21" t="s">
        <v>1188</v>
      </c>
      <c r="H870" s="40">
        <v>0</v>
      </c>
      <c r="I870" s="40">
        <v>285.8</v>
      </c>
      <c r="J870" s="40">
        <v>1475483.52</v>
      </c>
      <c r="K870" s="21"/>
    </row>
    <row r="871" ht="97.2" hidden="1" spans="1:11">
      <c r="A871" s="21" t="s">
        <v>1043</v>
      </c>
      <c r="B871" s="21" t="s">
        <v>1090</v>
      </c>
      <c r="C871" s="21" t="s">
        <v>319</v>
      </c>
      <c r="D871" s="21">
        <v>19</v>
      </c>
      <c r="E871" s="21" t="s">
        <v>299</v>
      </c>
      <c r="F871" s="21" t="s">
        <v>300</v>
      </c>
      <c r="G871" s="21" t="s">
        <v>1189</v>
      </c>
      <c r="H871" s="40">
        <v>0</v>
      </c>
      <c r="I871" s="40">
        <v>967.4</v>
      </c>
      <c r="J871" s="40">
        <v>1474516.12</v>
      </c>
      <c r="K871" s="21"/>
    </row>
    <row r="872" ht="97.2" hidden="1" spans="1:11">
      <c r="A872" s="21" t="s">
        <v>1043</v>
      </c>
      <c r="B872" s="21" t="s">
        <v>1090</v>
      </c>
      <c r="C872" s="21" t="s">
        <v>319</v>
      </c>
      <c r="D872" s="21">
        <v>19</v>
      </c>
      <c r="E872" s="21" t="s">
        <v>299</v>
      </c>
      <c r="F872" s="21" t="s">
        <v>300</v>
      </c>
      <c r="G872" s="21" t="s">
        <v>1190</v>
      </c>
      <c r="H872" s="40">
        <v>0</v>
      </c>
      <c r="I872" s="40">
        <v>6490.31</v>
      </c>
      <c r="J872" s="40">
        <v>1468025.81</v>
      </c>
      <c r="K872" s="21"/>
    </row>
    <row r="873" ht="97.2" hidden="1" spans="1:11">
      <c r="A873" s="21" t="s">
        <v>1043</v>
      </c>
      <c r="B873" s="21" t="s">
        <v>1090</v>
      </c>
      <c r="C873" s="21" t="s">
        <v>319</v>
      </c>
      <c r="D873" s="21">
        <v>19</v>
      </c>
      <c r="E873" s="21" t="s">
        <v>299</v>
      </c>
      <c r="F873" s="21" t="s">
        <v>300</v>
      </c>
      <c r="G873" s="21" t="s">
        <v>1191</v>
      </c>
      <c r="H873" s="40">
        <v>0</v>
      </c>
      <c r="I873" s="40">
        <v>14644.59</v>
      </c>
      <c r="J873" s="40">
        <v>1453381.22</v>
      </c>
      <c r="K873" s="21"/>
    </row>
    <row r="874" ht="97.2" hidden="1" spans="1:11">
      <c r="A874" s="21" t="s">
        <v>1043</v>
      </c>
      <c r="B874" s="21" t="s">
        <v>1090</v>
      </c>
      <c r="C874" s="21" t="s">
        <v>319</v>
      </c>
      <c r="D874" s="21">
        <v>19</v>
      </c>
      <c r="E874" s="21" t="s">
        <v>299</v>
      </c>
      <c r="F874" s="21" t="s">
        <v>300</v>
      </c>
      <c r="G874" s="21" t="s">
        <v>1192</v>
      </c>
      <c r="H874" s="40">
        <v>0</v>
      </c>
      <c r="I874" s="40">
        <v>1382.69</v>
      </c>
      <c r="J874" s="40">
        <v>1451998.53</v>
      </c>
      <c r="K874" s="21"/>
    </row>
    <row r="875" ht="97.2" hidden="1" spans="1:11">
      <c r="A875" s="21" t="s">
        <v>1043</v>
      </c>
      <c r="B875" s="21" t="s">
        <v>1090</v>
      </c>
      <c r="C875" s="21" t="s">
        <v>319</v>
      </c>
      <c r="D875" s="21">
        <v>19</v>
      </c>
      <c r="E875" s="21" t="s">
        <v>299</v>
      </c>
      <c r="F875" s="21" t="s">
        <v>300</v>
      </c>
      <c r="G875" s="21" t="s">
        <v>1193</v>
      </c>
      <c r="H875" s="40">
        <v>0</v>
      </c>
      <c r="I875" s="40">
        <v>1766.67</v>
      </c>
      <c r="J875" s="40">
        <v>1450231.86</v>
      </c>
      <c r="K875" s="21"/>
    </row>
    <row r="876" ht="97.2" hidden="1" spans="1:11">
      <c r="A876" s="21" t="s">
        <v>1043</v>
      </c>
      <c r="B876" s="21" t="s">
        <v>1090</v>
      </c>
      <c r="C876" s="21" t="s">
        <v>319</v>
      </c>
      <c r="D876" s="21">
        <v>19</v>
      </c>
      <c r="E876" s="21" t="s">
        <v>299</v>
      </c>
      <c r="F876" s="21" t="s">
        <v>300</v>
      </c>
      <c r="G876" s="21" t="s">
        <v>1194</v>
      </c>
      <c r="H876" s="40">
        <v>0</v>
      </c>
      <c r="I876" s="40">
        <v>240</v>
      </c>
      <c r="J876" s="40">
        <v>1449991.86</v>
      </c>
      <c r="K876" s="21"/>
    </row>
    <row r="877" ht="97.2" hidden="1" spans="1:11">
      <c r="A877" s="21" t="s">
        <v>1043</v>
      </c>
      <c r="B877" s="21" t="s">
        <v>1090</v>
      </c>
      <c r="C877" s="21" t="s">
        <v>319</v>
      </c>
      <c r="D877" s="21">
        <v>19</v>
      </c>
      <c r="E877" s="21" t="s">
        <v>299</v>
      </c>
      <c r="F877" s="21" t="s">
        <v>300</v>
      </c>
      <c r="G877" s="21" t="s">
        <v>1195</v>
      </c>
      <c r="H877" s="40">
        <v>0</v>
      </c>
      <c r="I877" s="40">
        <v>1560</v>
      </c>
      <c r="J877" s="40">
        <v>1448431.86</v>
      </c>
      <c r="K877" s="21"/>
    </row>
    <row r="878" ht="97.2" hidden="1" spans="1:11">
      <c r="A878" s="21" t="s">
        <v>1043</v>
      </c>
      <c r="B878" s="21" t="s">
        <v>1090</v>
      </c>
      <c r="C878" s="21" t="s">
        <v>319</v>
      </c>
      <c r="D878" s="21">
        <v>19</v>
      </c>
      <c r="E878" s="21" t="s">
        <v>299</v>
      </c>
      <c r="F878" s="21" t="s">
        <v>300</v>
      </c>
      <c r="G878" s="21" t="s">
        <v>1196</v>
      </c>
      <c r="H878" s="40">
        <v>0</v>
      </c>
      <c r="I878" s="40">
        <v>700</v>
      </c>
      <c r="J878" s="40">
        <v>1447731.86</v>
      </c>
      <c r="K878" s="21"/>
    </row>
    <row r="879" ht="97.2" hidden="1" spans="1:11">
      <c r="A879" s="21" t="s">
        <v>1043</v>
      </c>
      <c r="B879" s="21" t="s">
        <v>1090</v>
      </c>
      <c r="C879" s="21" t="s">
        <v>319</v>
      </c>
      <c r="D879" s="21">
        <v>19</v>
      </c>
      <c r="E879" s="21" t="s">
        <v>299</v>
      </c>
      <c r="F879" s="21" t="s">
        <v>300</v>
      </c>
      <c r="G879" s="21" t="s">
        <v>1197</v>
      </c>
      <c r="H879" s="40">
        <v>0</v>
      </c>
      <c r="I879" s="40">
        <v>970</v>
      </c>
      <c r="J879" s="40">
        <v>1446761.86</v>
      </c>
      <c r="K879" s="21"/>
    </row>
    <row r="880" ht="97.2" hidden="1" spans="1:11">
      <c r="A880" s="21" t="s">
        <v>1043</v>
      </c>
      <c r="B880" s="21" t="s">
        <v>1090</v>
      </c>
      <c r="C880" s="21" t="s">
        <v>319</v>
      </c>
      <c r="D880" s="21">
        <v>19</v>
      </c>
      <c r="E880" s="21" t="s">
        <v>299</v>
      </c>
      <c r="F880" s="21" t="s">
        <v>300</v>
      </c>
      <c r="G880" s="21" t="s">
        <v>1198</v>
      </c>
      <c r="H880" s="40">
        <v>0</v>
      </c>
      <c r="I880" s="40">
        <v>278.63</v>
      </c>
      <c r="J880" s="40">
        <v>1446483.23</v>
      </c>
      <c r="K880" s="21"/>
    </row>
    <row r="881" ht="97.2" hidden="1" spans="1:11">
      <c r="A881" s="21" t="s">
        <v>1043</v>
      </c>
      <c r="B881" s="21" t="s">
        <v>1090</v>
      </c>
      <c r="C881" s="21" t="s">
        <v>319</v>
      </c>
      <c r="D881" s="21">
        <v>19</v>
      </c>
      <c r="E881" s="21" t="s">
        <v>299</v>
      </c>
      <c r="F881" s="21" t="s">
        <v>300</v>
      </c>
      <c r="G881" s="21" t="s">
        <v>1199</v>
      </c>
      <c r="H881" s="40">
        <v>0</v>
      </c>
      <c r="I881" s="40">
        <v>224.62</v>
      </c>
      <c r="J881" s="40">
        <v>1446258.61</v>
      </c>
      <c r="K881" s="21"/>
    </row>
    <row r="882" ht="97.2" hidden="1" spans="1:11">
      <c r="A882" s="21" t="s">
        <v>1043</v>
      </c>
      <c r="B882" s="21" t="s">
        <v>1090</v>
      </c>
      <c r="C882" s="21" t="s">
        <v>319</v>
      </c>
      <c r="D882" s="21">
        <v>19</v>
      </c>
      <c r="E882" s="21" t="s">
        <v>299</v>
      </c>
      <c r="F882" s="21" t="s">
        <v>300</v>
      </c>
      <c r="G882" s="21" t="s">
        <v>1200</v>
      </c>
      <c r="H882" s="40">
        <v>0</v>
      </c>
      <c r="I882" s="40">
        <v>252.72</v>
      </c>
      <c r="J882" s="40">
        <v>1446005.89</v>
      </c>
      <c r="K882" s="21"/>
    </row>
    <row r="883" ht="97.2" hidden="1" spans="1:11">
      <c r="A883" s="21" t="s">
        <v>1043</v>
      </c>
      <c r="B883" s="21" t="s">
        <v>1090</v>
      </c>
      <c r="C883" s="21" t="s">
        <v>319</v>
      </c>
      <c r="D883" s="21">
        <v>19</v>
      </c>
      <c r="E883" s="21" t="s">
        <v>299</v>
      </c>
      <c r="F883" s="21" t="s">
        <v>300</v>
      </c>
      <c r="G883" s="21" t="s">
        <v>1201</v>
      </c>
      <c r="H883" s="40">
        <v>0</v>
      </c>
      <c r="I883" s="40">
        <v>238.77</v>
      </c>
      <c r="J883" s="40">
        <v>1445767.12</v>
      </c>
      <c r="K883" s="21"/>
    </row>
    <row r="884" ht="97.2" hidden="1" spans="1:11">
      <c r="A884" s="21" t="s">
        <v>1043</v>
      </c>
      <c r="B884" s="21" t="s">
        <v>1090</v>
      </c>
      <c r="C884" s="21" t="s">
        <v>319</v>
      </c>
      <c r="D884" s="21">
        <v>19</v>
      </c>
      <c r="E884" s="21" t="s">
        <v>299</v>
      </c>
      <c r="F884" s="21" t="s">
        <v>300</v>
      </c>
      <c r="G884" s="21" t="s">
        <v>1202</v>
      </c>
      <c r="H884" s="40">
        <v>0</v>
      </c>
      <c r="I884" s="40">
        <v>393.44</v>
      </c>
      <c r="J884" s="40">
        <v>1445373.68</v>
      </c>
      <c r="K884" s="21"/>
    </row>
    <row r="885" ht="97.2" hidden="1" spans="1:11">
      <c r="A885" s="21" t="s">
        <v>1043</v>
      </c>
      <c r="B885" s="21" t="s">
        <v>1090</v>
      </c>
      <c r="C885" s="21" t="s">
        <v>319</v>
      </c>
      <c r="D885" s="21">
        <v>19</v>
      </c>
      <c r="E885" s="21" t="s">
        <v>299</v>
      </c>
      <c r="F885" s="21" t="s">
        <v>300</v>
      </c>
      <c r="G885" s="21" t="s">
        <v>1203</v>
      </c>
      <c r="H885" s="40">
        <v>0</v>
      </c>
      <c r="I885" s="40">
        <v>528.2</v>
      </c>
      <c r="J885" s="40">
        <v>1444845.48</v>
      </c>
      <c r="K885" s="21"/>
    </row>
    <row r="886" ht="97.2" hidden="1" spans="1:11">
      <c r="A886" s="21" t="s">
        <v>1043</v>
      </c>
      <c r="B886" s="21" t="s">
        <v>1090</v>
      </c>
      <c r="C886" s="21" t="s">
        <v>319</v>
      </c>
      <c r="D886" s="21">
        <v>19</v>
      </c>
      <c r="E886" s="21" t="s">
        <v>299</v>
      </c>
      <c r="F886" s="21" t="s">
        <v>300</v>
      </c>
      <c r="G886" s="21" t="s">
        <v>1204</v>
      </c>
      <c r="H886" s="40">
        <v>0</v>
      </c>
      <c r="I886" s="40">
        <v>540</v>
      </c>
      <c r="J886" s="40">
        <v>1444305.48</v>
      </c>
      <c r="K886" s="21"/>
    </row>
    <row r="887" ht="97.2" hidden="1" spans="1:11">
      <c r="A887" s="21" t="s">
        <v>1043</v>
      </c>
      <c r="B887" s="21" t="s">
        <v>1090</v>
      </c>
      <c r="C887" s="21" t="s">
        <v>319</v>
      </c>
      <c r="D887" s="21">
        <v>19</v>
      </c>
      <c r="E887" s="21" t="s">
        <v>299</v>
      </c>
      <c r="F887" s="21" t="s">
        <v>300</v>
      </c>
      <c r="G887" s="21" t="s">
        <v>1205</v>
      </c>
      <c r="H887" s="40">
        <v>0</v>
      </c>
      <c r="I887" s="40">
        <v>6407.01</v>
      </c>
      <c r="J887" s="40">
        <v>1437898.47</v>
      </c>
      <c r="K887" s="21"/>
    </row>
    <row r="888" ht="97.2" hidden="1" spans="1:11">
      <c r="A888" s="21" t="s">
        <v>1043</v>
      </c>
      <c r="B888" s="21" t="s">
        <v>1090</v>
      </c>
      <c r="C888" s="21" t="s">
        <v>319</v>
      </c>
      <c r="D888" s="21">
        <v>19</v>
      </c>
      <c r="E888" s="21" t="s">
        <v>299</v>
      </c>
      <c r="F888" s="21" t="s">
        <v>300</v>
      </c>
      <c r="G888" s="21" t="s">
        <v>1206</v>
      </c>
      <c r="H888" s="40">
        <v>0</v>
      </c>
      <c r="I888" s="40">
        <v>1570.94</v>
      </c>
      <c r="J888" s="40">
        <v>1436327.53</v>
      </c>
      <c r="K888" s="21"/>
    </row>
    <row r="889" ht="97.2" hidden="1" spans="1:11">
      <c r="A889" s="21" t="s">
        <v>1043</v>
      </c>
      <c r="B889" s="21" t="s">
        <v>1090</v>
      </c>
      <c r="C889" s="21" t="s">
        <v>319</v>
      </c>
      <c r="D889" s="21">
        <v>19</v>
      </c>
      <c r="E889" s="21" t="s">
        <v>299</v>
      </c>
      <c r="F889" s="21" t="s">
        <v>300</v>
      </c>
      <c r="G889" s="21" t="s">
        <v>1207</v>
      </c>
      <c r="H889" s="40">
        <v>0</v>
      </c>
      <c r="I889" s="40">
        <v>700</v>
      </c>
      <c r="J889" s="40">
        <v>1435627.53</v>
      </c>
      <c r="K889" s="21"/>
    </row>
    <row r="890" ht="97.2" hidden="1" spans="1:11">
      <c r="A890" s="21" t="s">
        <v>1043</v>
      </c>
      <c r="B890" s="21" t="s">
        <v>1090</v>
      </c>
      <c r="C890" s="21" t="s">
        <v>319</v>
      </c>
      <c r="D890" s="21">
        <v>19</v>
      </c>
      <c r="E890" s="21" t="s">
        <v>299</v>
      </c>
      <c r="F890" s="21" t="s">
        <v>300</v>
      </c>
      <c r="G890" s="21" t="s">
        <v>1208</v>
      </c>
      <c r="H890" s="40">
        <v>0</v>
      </c>
      <c r="I890" s="40">
        <v>2786</v>
      </c>
      <c r="J890" s="40">
        <v>1432841.53</v>
      </c>
      <c r="K890" s="21"/>
    </row>
    <row r="891" ht="97.2" hidden="1" spans="1:11">
      <c r="A891" s="21" t="s">
        <v>1043</v>
      </c>
      <c r="B891" s="21" t="s">
        <v>1090</v>
      </c>
      <c r="C891" s="21" t="s">
        <v>319</v>
      </c>
      <c r="D891" s="21">
        <v>19</v>
      </c>
      <c r="E891" s="21" t="s">
        <v>299</v>
      </c>
      <c r="F891" s="21" t="s">
        <v>300</v>
      </c>
      <c r="G891" s="21" t="s">
        <v>1209</v>
      </c>
      <c r="H891" s="40">
        <v>0</v>
      </c>
      <c r="I891" s="40">
        <v>707.55</v>
      </c>
      <c r="J891" s="40">
        <v>1432133.98</v>
      </c>
      <c r="K891" s="21"/>
    </row>
    <row r="892" ht="97.2" hidden="1" spans="1:11">
      <c r="A892" s="21" t="s">
        <v>1043</v>
      </c>
      <c r="B892" s="21" t="s">
        <v>1090</v>
      </c>
      <c r="C892" s="21" t="s">
        <v>319</v>
      </c>
      <c r="D892" s="21">
        <v>19</v>
      </c>
      <c r="E892" s="21" t="s">
        <v>299</v>
      </c>
      <c r="F892" s="21" t="s">
        <v>300</v>
      </c>
      <c r="G892" s="21" t="s">
        <v>1210</v>
      </c>
      <c r="H892" s="40">
        <v>0</v>
      </c>
      <c r="I892" s="40">
        <v>503.07</v>
      </c>
      <c r="J892" s="40">
        <v>1431630.91</v>
      </c>
      <c r="K892" s="21"/>
    </row>
    <row r="893" ht="97.2" hidden="1" spans="1:11">
      <c r="A893" s="21" t="s">
        <v>1043</v>
      </c>
      <c r="B893" s="21" t="s">
        <v>1090</v>
      </c>
      <c r="C893" s="21" t="s">
        <v>319</v>
      </c>
      <c r="D893" s="21">
        <v>19</v>
      </c>
      <c r="E893" s="21" t="s">
        <v>299</v>
      </c>
      <c r="F893" s="21" t="s">
        <v>300</v>
      </c>
      <c r="G893" s="21" t="s">
        <v>1211</v>
      </c>
      <c r="H893" s="40">
        <v>0</v>
      </c>
      <c r="I893" s="40">
        <v>5770.54</v>
      </c>
      <c r="J893" s="40">
        <v>1425860.37</v>
      </c>
      <c r="K893" s="21"/>
    </row>
    <row r="894" ht="97.2" hidden="1" spans="1:11">
      <c r="A894" s="21" t="s">
        <v>1043</v>
      </c>
      <c r="B894" s="21" t="s">
        <v>1090</v>
      </c>
      <c r="C894" s="21" t="s">
        <v>319</v>
      </c>
      <c r="D894" s="21">
        <v>19</v>
      </c>
      <c r="E894" s="21" t="s">
        <v>299</v>
      </c>
      <c r="F894" s="21" t="s">
        <v>300</v>
      </c>
      <c r="G894" s="21" t="s">
        <v>1212</v>
      </c>
      <c r="H894" s="40">
        <v>0</v>
      </c>
      <c r="I894" s="40">
        <v>973.1</v>
      </c>
      <c r="J894" s="40">
        <v>1424887.27</v>
      </c>
      <c r="K894" s="21"/>
    </row>
    <row r="895" ht="97.2" hidden="1" spans="1:11">
      <c r="A895" s="21" t="s">
        <v>1043</v>
      </c>
      <c r="B895" s="21" t="s">
        <v>1090</v>
      </c>
      <c r="C895" s="21" t="s">
        <v>319</v>
      </c>
      <c r="D895" s="21">
        <v>19</v>
      </c>
      <c r="E895" s="21" t="s">
        <v>299</v>
      </c>
      <c r="F895" s="21" t="s">
        <v>300</v>
      </c>
      <c r="G895" s="21" t="s">
        <v>1213</v>
      </c>
      <c r="H895" s="40">
        <v>0</v>
      </c>
      <c r="I895" s="40">
        <v>4005</v>
      </c>
      <c r="J895" s="40">
        <v>1420882.27</v>
      </c>
      <c r="K895" s="21"/>
    </row>
    <row r="896" ht="97.2" hidden="1" spans="1:11">
      <c r="A896" s="21" t="s">
        <v>1043</v>
      </c>
      <c r="B896" s="21" t="s">
        <v>1090</v>
      </c>
      <c r="C896" s="21" t="s">
        <v>319</v>
      </c>
      <c r="D896" s="21">
        <v>19</v>
      </c>
      <c r="E896" s="21" t="s">
        <v>299</v>
      </c>
      <c r="F896" s="21" t="s">
        <v>300</v>
      </c>
      <c r="G896" s="21" t="s">
        <v>1214</v>
      </c>
      <c r="H896" s="40">
        <v>0</v>
      </c>
      <c r="I896" s="40">
        <v>167.25</v>
      </c>
      <c r="J896" s="40">
        <v>1420715.02</v>
      </c>
      <c r="K896" s="21"/>
    </row>
    <row r="897" ht="97.2" hidden="1" spans="1:11">
      <c r="A897" s="21" t="s">
        <v>1043</v>
      </c>
      <c r="B897" s="21" t="s">
        <v>1090</v>
      </c>
      <c r="C897" s="21" t="s">
        <v>319</v>
      </c>
      <c r="D897" s="21">
        <v>19</v>
      </c>
      <c r="E897" s="21" t="s">
        <v>299</v>
      </c>
      <c r="F897" s="21" t="s">
        <v>300</v>
      </c>
      <c r="G897" s="21" t="s">
        <v>1215</v>
      </c>
      <c r="H897" s="40">
        <v>0</v>
      </c>
      <c r="I897" s="40">
        <v>727.5</v>
      </c>
      <c r="J897" s="40">
        <v>1419987.52</v>
      </c>
      <c r="K897" s="21"/>
    </row>
    <row r="898" ht="97.2" hidden="1" spans="1:11">
      <c r="A898" s="21" t="s">
        <v>1043</v>
      </c>
      <c r="B898" s="21" t="s">
        <v>1090</v>
      </c>
      <c r="C898" s="21" t="s">
        <v>319</v>
      </c>
      <c r="D898" s="21">
        <v>19</v>
      </c>
      <c r="E898" s="21" t="s">
        <v>299</v>
      </c>
      <c r="F898" s="21" t="s">
        <v>300</v>
      </c>
      <c r="G898" s="21" t="s">
        <v>1216</v>
      </c>
      <c r="H898" s="40">
        <v>0</v>
      </c>
      <c r="I898" s="40">
        <v>3990</v>
      </c>
      <c r="J898" s="40">
        <v>1415997.52</v>
      </c>
      <c r="K898" s="21"/>
    </row>
    <row r="899" ht="97.2" hidden="1" spans="1:11">
      <c r="A899" s="21" t="s">
        <v>1043</v>
      </c>
      <c r="B899" s="21" t="s">
        <v>1090</v>
      </c>
      <c r="C899" s="21" t="s">
        <v>319</v>
      </c>
      <c r="D899" s="21">
        <v>19</v>
      </c>
      <c r="E899" s="21" t="s">
        <v>299</v>
      </c>
      <c r="F899" s="21" t="s">
        <v>300</v>
      </c>
      <c r="G899" s="21" t="s">
        <v>1217</v>
      </c>
      <c r="H899" s="40">
        <v>0</v>
      </c>
      <c r="I899" s="40">
        <v>5022.5</v>
      </c>
      <c r="J899" s="40">
        <v>1410975.02</v>
      </c>
      <c r="K899" s="21"/>
    </row>
    <row r="900" ht="97.2" hidden="1" spans="1:11">
      <c r="A900" s="21" t="s">
        <v>1043</v>
      </c>
      <c r="B900" s="21" t="s">
        <v>1090</v>
      </c>
      <c r="C900" s="21" t="s">
        <v>319</v>
      </c>
      <c r="D900" s="21">
        <v>19</v>
      </c>
      <c r="E900" s="21" t="s">
        <v>299</v>
      </c>
      <c r="F900" s="21" t="s">
        <v>300</v>
      </c>
      <c r="G900" s="21" t="s">
        <v>1218</v>
      </c>
      <c r="H900" s="40">
        <v>0</v>
      </c>
      <c r="I900" s="40">
        <v>50</v>
      </c>
      <c r="J900" s="40">
        <v>1410925.02</v>
      </c>
      <c r="K900" s="21"/>
    </row>
    <row r="901" ht="97.2" hidden="1" spans="1:11">
      <c r="A901" s="21" t="s">
        <v>1043</v>
      </c>
      <c r="B901" s="21" t="s">
        <v>1090</v>
      </c>
      <c r="C901" s="21" t="s">
        <v>319</v>
      </c>
      <c r="D901" s="21">
        <v>19</v>
      </c>
      <c r="E901" s="21" t="s">
        <v>299</v>
      </c>
      <c r="F901" s="21" t="s">
        <v>300</v>
      </c>
      <c r="G901" s="21" t="s">
        <v>1219</v>
      </c>
      <c r="H901" s="40">
        <v>0</v>
      </c>
      <c r="I901" s="40">
        <v>200</v>
      </c>
      <c r="J901" s="40">
        <v>1410725.02</v>
      </c>
      <c r="K901" s="21"/>
    </row>
    <row r="902" ht="97.2" hidden="1" spans="1:11">
      <c r="A902" s="21" t="s">
        <v>1043</v>
      </c>
      <c r="B902" s="21" t="s">
        <v>1090</v>
      </c>
      <c r="C902" s="21" t="s">
        <v>319</v>
      </c>
      <c r="D902" s="21">
        <v>19</v>
      </c>
      <c r="E902" s="21" t="s">
        <v>299</v>
      </c>
      <c r="F902" s="21" t="s">
        <v>300</v>
      </c>
      <c r="G902" s="21" t="s">
        <v>1220</v>
      </c>
      <c r="H902" s="40">
        <v>0</v>
      </c>
      <c r="I902" s="40">
        <v>50</v>
      </c>
      <c r="J902" s="40">
        <v>1410675.02</v>
      </c>
      <c r="K902" s="21"/>
    </row>
    <row r="903" ht="97.2" hidden="1" spans="1:11">
      <c r="A903" s="21" t="s">
        <v>1043</v>
      </c>
      <c r="B903" s="21" t="s">
        <v>1090</v>
      </c>
      <c r="C903" s="21" t="s">
        <v>319</v>
      </c>
      <c r="D903" s="21">
        <v>19</v>
      </c>
      <c r="E903" s="21" t="s">
        <v>299</v>
      </c>
      <c r="F903" s="21" t="s">
        <v>300</v>
      </c>
      <c r="G903" s="21" t="s">
        <v>1221</v>
      </c>
      <c r="H903" s="40">
        <v>0</v>
      </c>
      <c r="I903" s="40">
        <v>50</v>
      </c>
      <c r="J903" s="40">
        <v>1410625.02</v>
      </c>
      <c r="K903" s="21"/>
    </row>
    <row r="904" ht="97.2" hidden="1" spans="1:11">
      <c r="A904" s="21" t="s">
        <v>1043</v>
      </c>
      <c r="B904" s="21" t="s">
        <v>1090</v>
      </c>
      <c r="C904" s="21" t="s">
        <v>319</v>
      </c>
      <c r="D904" s="21">
        <v>19</v>
      </c>
      <c r="E904" s="21" t="s">
        <v>299</v>
      </c>
      <c r="F904" s="21" t="s">
        <v>300</v>
      </c>
      <c r="G904" s="21" t="s">
        <v>1222</v>
      </c>
      <c r="H904" s="40">
        <v>0</v>
      </c>
      <c r="I904" s="40">
        <v>50</v>
      </c>
      <c r="J904" s="40">
        <v>1410575.02</v>
      </c>
      <c r="K904" s="21"/>
    </row>
    <row r="905" ht="97.2" hidden="1" spans="1:11">
      <c r="A905" s="21" t="s">
        <v>1043</v>
      </c>
      <c r="B905" s="21" t="s">
        <v>1090</v>
      </c>
      <c r="C905" s="21" t="s">
        <v>319</v>
      </c>
      <c r="D905" s="21">
        <v>19</v>
      </c>
      <c r="E905" s="21" t="s">
        <v>299</v>
      </c>
      <c r="F905" s="21" t="s">
        <v>300</v>
      </c>
      <c r="G905" s="21" t="s">
        <v>1223</v>
      </c>
      <c r="H905" s="40">
        <v>0</v>
      </c>
      <c r="I905" s="40">
        <v>200</v>
      </c>
      <c r="J905" s="40">
        <v>1410375.02</v>
      </c>
      <c r="K905" s="21"/>
    </row>
    <row r="906" ht="97.2" hidden="1" spans="1:11">
      <c r="A906" s="21" t="s">
        <v>1043</v>
      </c>
      <c r="B906" s="21" t="s">
        <v>1090</v>
      </c>
      <c r="C906" s="21" t="s">
        <v>319</v>
      </c>
      <c r="D906" s="21">
        <v>19</v>
      </c>
      <c r="E906" s="21" t="s">
        <v>299</v>
      </c>
      <c r="F906" s="21" t="s">
        <v>300</v>
      </c>
      <c r="G906" s="21" t="s">
        <v>1224</v>
      </c>
      <c r="H906" s="40">
        <v>0</v>
      </c>
      <c r="I906" s="40">
        <v>330</v>
      </c>
      <c r="J906" s="40">
        <v>1410045.02</v>
      </c>
      <c r="K906" s="21"/>
    </row>
    <row r="907" ht="97.2" hidden="1" spans="1:11">
      <c r="A907" s="21" t="s">
        <v>1043</v>
      </c>
      <c r="B907" s="21" t="s">
        <v>1090</v>
      </c>
      <c r="C907" s="21" t="s">
        <v>319</v>
      </c>
      <c r="D907" s="21">
        <v>19</v>
      </c>
      <c r="E907" s="21" t="s">
        <v>299</v>
      </c>
      <c r="F907" s="21" t="s">
        <v>300</v>
      </c>
      <c r="G907" s="21" t="s">
        <v>1225</v>
      </c>
      <c r="H907" s="40">
        <v>0</v>
      </c>
      <c r="I907" s="40">
        <v>313.5</v>
      </c>
      <c r="J907" s="40">
        <v>1409731.52</v>
      </c>
      <c r="K907" s="21"/>
    </row>
    <row r="908" ht="97.2" hidden="1" spans="1:11">
      <c r="A908" s="21" t="s">
        <v>1043</v>
      </c>
      <c r="B908" s="21" t="s">
        <v>1090</v>
      </c>
      <c r="C908" s="21" t="s">
        <v>319</v>
      </c>
      <c r="D908" s="21">
        <v>19</v>
      </c>
      <c r="E908" s="21" t="s">
        <v>299</v>
      </c>
      <c r="F908" s="21" t="s">
        <v>300</v>
      </c>
      <c r="G908" s="21" t="s">
        <v>1226</v>
      </c>
      <c r="H908" s="40">
        <v>0</v>
      </c>
      <c r="I908" s="40">
        <v>3302.57</v>
      </c>
      <c r="J908" s="40">
        <v>1406428.95</v>
      </c>
      <c r="K908" s="21"/>
    </row>
    <row r="909" ht="97.2" hidden="1" spans="1:11">
      <c r="A909" s="21" t="s">
        <v>1043</v>
      </c>
      <c r="B909" s="21" t="s">
        <v>1090</v>
      </c>
      <c r="C909" s="21" t="s">
        <v>319</v>
      </c>
      <c r="D909" s="21">
        <v>19</v>
      </c>
      <c r="E909" s="21" t="s">
        <v>299</v>
      </c>
      <c r="F909" s="21" t="s">
        <v>300</v>
      </c>
      <c r="G909" s="21" t="s">
        <v>1227</v>
      </c>
      <c r="H909" s="40">
        <v>0</v>
      </c>
      <c r="I909" s="40">
        <v>325</v>
      </c>
      <c r="J909" s="40">
        <v>1406103.95</v>
      </c>
      <c r="K909" s="21"/>
    </row>
    <row r="910" ht="97.2" hidden="1" spans="1:11">
      <c r="A910" s="21" t="s">
        <v>1043</v>
      </c>
      <c r="B910" s="21" t="s">
        <v>1090</v>
      </c>
      <c r="C910" s="21" t="s">
        <v>319</v>
      </c>
      <c r="D910" s="21">
        <v>19</v>
      </c>
      <c r="E910" s="21" t="s">
        <v>299</v>
      </c>
      <c r="F910" s="21" t="s">
        <v>300</v>
      </c>
      <c r="G910" s="21" t="s">
        <v>1228</v>
      </c>
      <c r="H910" s="40">
        <v>0</v>
      </c>
      <c r="I910" s="40">
        <v>325</v>
      </c>
      <c r="J910" s="40">
        <v>1405778.95</v>
      </c>
      <c r="K910" s="21"/>
    </row>
    <row r="911" ht="97.2" hidden="1" spans="1:11">
      <c r="A911" s="21" t="s">
        <v>1043</v>
      </c>
      <c r="B911" s="21" t="s">
        <v>1090</v>
      </c>
      <c r="C911" s="21" t="s">
        <v>319</v>
      </c>
      <c r="D911" s="21">
        <v>19</v>
      </c>
      <c r="E911" s="21" t="s">
        <v>299</v>
      </c>
      <c r="F911" s="21" t="s">
        <v>300</v>
      </c>
      <c r="G911" s="21" t="s">
        <v>1229</v>
      </c>
      <c r="H911" s="40">
        <v>0</v>
      </c>
      <c r="I911" s="40">
        <v>325</v>
      </c>
      <c r="J911" s="40">
        <v>1405453.95</v>
      </c>
      <c r="K911" s="21"/>
    </row>
    <row r="912" ht="97.2" hidden="1" spans="1:11">
      <c r="A912" s="21" t="s">
        <v>1043</v>
      </c>
      <c r="B912" s="21" t="s">
        <v>1090</v>
      </c>
      <c r="C912" s="21" t="s">
        <v>319</v>
      </c>
      <c r="D912" s="21">
        <v>19</v>
      </c>
      <c r="E912" s="21" t="s">
        <v>299</v>
      </c>
      <c r="F912" s="21" t="s">
        <v>300</v>
      </c>
      <c r="G912" s="21" t="s">
        <v>1230</v>
      </c>
      <c r="H912" s="40">
        <v>0</v>
      </c>
      <c r="I912" s="40">
        <v>2281.56</v>
      </c>
      <c r="J912" s="40">
        <v>1403172.39</v>
      </c>
      <c r="K912" s="21"/>
    </row>
    <row r="913" ht="97.2" hidden="1" spans="1:15">
      <c r="A913" s="21" t="s">
        <v>1043</v>
      </c>
      <c r="B913" s="21" t="s">
        <v>1090</v>
      </c>
      <c r="C913" s="21" t="s">
        <v>319</v>
      </c>
      <c r="D913" s="21">
        <v>19</v>
      </c>
      <c r="E913" s="21" t="s">
        <v>299</v>
      </c>
      <c r="F913" s="21" t="s">
        <v>300</v>
      </c>
      <c r="G913" s="21" t="s">
        <v>1231</v>
      </c>
      <c r="H913" s="40">
        <v>0</v>
      </c>
      <c r="I913" s="40">
        <v>2088.05</v>
      </c>
      <c r="J913" s="40">
        <v>1401084.34</v>
      </c>
      <c r="K913" s="21"/>
    </row>
    <row r="914" ht="97.2" hidden="1" spans="1:15">
      <c r="A914" s="21" t="s">
        <v>1043</v>
      </c>
      <c r="B914" s="21" t="s">
        <v>1090</v>
      </c>
      <c r="C914" s="21" t="s">
        <v>319</v>
      </c>
      <c r="D914" s="21">
        <v>19</v>
      </c>
      <c r="E914" s="21" t="s">
        <v>299</v>
      </c>
      <c r="F914" s="21" t="s">
        <v>300</v>
      </c>
      <c r="G914" s="21" t="s">
        <v>1232</v>
      </c>
      <c r="H914" s="40">
        <v>0</v>
      </c>
      <c r="I914" s="40">
        <v>3935.96</v>
      </c>
      <c r="J914" s="40">
        <v>1397148.38</v>
      </c>
      <c r="K914" s="21"/>
    </row>
    <row r="915" ht="97.2" hidden="1" spans="1:15">
      <c r="A915" s="21" t="s">
        <v>1043</v>
      </c>
      <c r="B915" s="21" t="s">
        <v>1090</v>
      </c>
      <c r="C915" s="21" t="s">
        <v>319</v>
      </c>
      <c r="D915" s="21">
        <v>19</v>
      </c>
      <c r="E915" s="21" t="s">
        <v>299</v>
      </c>
      <c r="F915" s="21" t="s">
        <v>300</v>
      </c>
      <c r="G915" s="21" t="s">
        <v>1233</v>
      </c>
      <c r="H915" s="40">
        <v>0</v>
      </c>
      <c r="I915" s="40">
        <v>567.6</v>
      </c>
      <c r="J915" s="40">
        <v>1396580.78</v>
      </c>
      <c r="K915" s="21"/>
    </row>
    <row r="916" ht="97.2" hidden="1" spans="1:15">
      <c r="A916" s="21" t="s">
        <v>1043</v>
      </c>
      <c r="B916" s="21" t="s">
        <v>1090</v>
      </c>
      <c r="C916" s="21" t="s">
        <v>319</v>
      </c>
      <c r="D916" s="21">
        <v>19</v>
      </c>
      <c r="E916" s="21" t="s">
        <v>299</v>
      </c>
      <c r="F916" s="21" t="s">
        <v>300</v>
      </c>
      <c r="G916" s="21" t="s">
        <v>1234</v>
      </c>
      <c r="H916" s="40">
        <v>0</v>
      </c>
      <c r="I916" s="40">
        <v>6160</v>
      </c>
      <c r="J916" s="40">
        <v>1390420.78</v>
      </c>
      <c r="K916" s="21"/>
    </row>
    <row r="917" ht="97.2" hidden="1" spans="1:15">
      <c r="A917" s="21" t="s">
        <v>1043</v>
      </c>
      <c r="B917" s="21" t="s">
        <v>1090</v>
      </c>
      <c r="C917" s="21" t="s">
        <v>319</v>
      </c>
      <c r="D917" s="21">
        <v>16</v>
      </c>
      <c r="E917" s="21" t="s">
        <v>299</v>
      </c>
      <c r="F917" s="21" t="s">
        <v>300</v>
      </c>
      <c r="G917" s="21" t="s">
        <v>1235</v>
      </c>
      <c r="H917" s="40">
        <v>45032.39</v>
      </c>
      <c r="I917" s="40">
        <v>0</v>
      </c>
      <c r="J917" s="40">
        <v>1435453.17</v>
      </c>
      <c r="K917" s="21"/>
    </row>
    <row r="918" ht="97.2" spans="1:15">
      <c r="A918" s="21" t="s">
        <v>1043</v>
      </c>
      <c r="B918" s="21" t="s">
        <v>1090</v>
      </c>
      <c r="C918" s="21" t="s">
        <v>319</v>
      </c>
      <c r="D918" s="21">
        <v>18</v>
      </c>
      <c r="E918" s="21" t="s">
        <v>299</v>
      </c>
      <c r="F918" s="21" t="s">
        <v>300</v>
      </c>
      <c r="G918" s="21" t="s">
        <v>1236</v>
      </c>
      <c r="H918" s="43">
        <v>13842</v>
      </c>
      <c r="I918" s="40">
        <v>0</v>
      </c>
      <c r="J918" s="40">
        <v>1449295.17</v>
      </c>
      <c r="K918" s="21"/>
      <c r="L918" s="36">
        <v>12306</v>
      </c>
      <c r="M918" s="36" t="s">
        <v>1237</v>
      </c>
      <c r="N918" s="44"/>
      <c r="O918" s="44"/>
    </row>
    <row r="919" ht="21.6" hidden="1" spans="1:15">
      <c r="A919" s="21" t="s">
        <v>1043</v>
      </c>
      <c r="B919" s="21"/>
      <c r="C919" s="21"/>
      <c r="D919" s="21"/>
      <c r="E919" s="21"/>
      <c r="F919" s="21"/>
      <c r="G919" s="21" t="s">
        <v>361</v>
      </c>
      <c r="H919" s="40">
        <v>570196.37</v>
      </c>
      <c r="I919" s="40">
        <v>305883.08</v>
      </c>
      <c r="J919" s="40">
        <v>1449295.17</v>
      </c>
      <c r="K919" s="21"/>
    </row>
    <row r="920" ht="21.6" hidden="1" spans="1:15">
      <c r="A920" s="21" t="s">
        <v>1043</v>
      </c>
      <c r="B920" s="21"/>
      <c r="C920" s="21"/>
      <c r="D920" s="21"/>
      <c r="E920" s="21"/>
      <c r="F920" s="21"/>
      <c r="G920" s="21" t="s">
        <v>362</v>
      </c>
      <c r="H920" s="40">
        <v>2860355.96</v>
      </c>
      <c r="I920" s="40">
        <v>1993727.96</v>
      </c>
      <c r="J920" s="40">
        <v>1449295.17</v>
      </c>
      <c r="K920" s="21"/>
    </row>
    <row r="921" ht="11.25" hidden="1" customHeight="1" spans="1:15">
      <c r="A921" s="45" t="s">
        <v>1238</v>
      </c>
      <c r="B921" s="45"/>
      <c r="C921" s="45"/>
      <c r="D921" s="45"/>
      <c r="E921" s="45"/>
      <c r="F921" s="45"/>
      <c r="G921" s="45"/>
      <c r="H921" s="45"/>
      <c r="I921" s="45"/>
      <c r="J921" s="45"/>
      <c r="K921" s="45"/>
    </row>
    <row r="922" spans="1:15">
      <c r="H922" s="46">
        <f>SUBTOTAL(9,H118:H918)-H596+H930</f>
        <v>102221</v>
      </c>
    </row>
    <row r="923" spans="1:15">
      <c r="H923" s="47">
        <f>+H922+'mooncake cost'!G25</f>
        <v>201425.2</v>
      </c>
    </row>
    <row r="924" spans="1:15">
      <c r="H924" s="47">
        <f>'P&amp;L forcast 2021'!O42+'P&amp;L forcast 2021'!U47-200</f>
        <v>577199.86</v>
      </c>
    </row>
    <row r="925" spans="1:15">
      <c r="H925" s="36">
        <f>+H924-H923</f>
        <v>375774.66</v>
      </c>
    </row>
    <row r="928" s="1" customFormat="1" ht="30" customHeight="1" spans="1:15">
      <c r="A928" s="7" t="s">
        <v>1239</v>
      </c>
      <c r="B928" s="7" t="s">
        <v>1240</v>
      </c>
      <c r="C928" s="7" t="s">
        <v>1241</v>
      </c>
      <c r="D928" s="7" t="s">
        <v>1242</v>
      </c>
      <c r="E928" s="7" t="s">
        <v>1243</v>
      </c>
      <c r="F928" s="48">
        <v>1.2</v>
      </c>
      <c r="G928" s="48">
        <v>600</v>
      </c>
      <c r="H928" s="49">
        <f t="shared" ref="H928:H929" si="0">G928*F928</f>
        <v>720</v>
      </c>
      <c r="I928" s="7" t="s">
        <v>1244</v>
      </c>
      <c r="J928" s="7" t="s">
        <v>884</v>
      </c>
      <c r="K928" s="50" t="s">
        <v>1245</v>
      </c>
      <c r="L928" s="7"/>
      <c r="M928" s="7"/>
    </row>
    <row r="929" s="1" customFormat="1" ht="30" customHeight="1" spans="1:13">
      <c r="A929" s="7" t="s">
        <v>1246</v>
      </c>
      <c r="B929" s="7" t="s">
        <v>1247</v>
      </c>
      <c r="C929" s="7" t="s">
        <v>1248</v>
      </c>
      <c r="D929" s="7" t="s">
        <v>1249</v>
      </c>
      <c r="E929" s="7" t="s">
        <v>1250</v>
      </c>
      <c r="F929" s="48">
        <v>39</v>
      </c>
      <c r="G929" s="48">
        <v>5</v>
      </c>
      <c r="H929" s="49">
        <f t="shared" si="0"/>
        <v>195</v>
      </c>
      <c r="I929" s="7" t="s">
        <v>1251</v>
      </c>
      <c r="J929" s="7" t="s">
        <v>1081</v>
      </c>
      <c r="K929" s="51"/>
      <c r="L929" s="7"/>
      <c r="M929" s="7"/>
    </row>
    <row r="930" spans="1:13">
      <c r="H930" s="36">
        <f>SUBTOTAL(9,H928:H929)</f>
        <v>915</v>
      </c>
    </row>
  </sheetData>
  <autoFilter xmlns:etc="http://www.wps.cn/officeDocument/2017/etCustomData" ref="A4:K925" etc:filterBottomFollowUsedRange="0">
    <filterColumn colId="6">
      <customFilters>
        <customFilter operator="equal" val="*月饼*"/>
      </customFilters>
    </filterColumn>
    <extLst/>
  </autoFilter>
  <mergeCells count="4">
    <mergeCell ref="A1:K1"/>
    <mergeCell ref="A2:K2"/>
    <mergeCell ref="A921:K921"/>
    <mergeCell ref="K928:K929"/>
  </mergeCells>
  <pageMargins left="0.75" right="0.75" top="1" bottom="1" header="0.5" footer="0.5"/>
  <pageSetup paperSize="9" orientation="portrait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7"/>
  <sheetViews>
    <sheetView zoomScaleSheetLayoutView="80" workbookViewId="0">
      <pane xSplit="2" ySplit="2" topLeftCell="C3" activePane="bottomRight" state="frozen"/>
      <selection/>
      <selection pane="topRight"/>
      <selection pane="bottomLeft"/>
      <selection pane="bottomRight" activeCell="K36" sqref="K36"/>
    </sheetView>
  </sheetViews>
  <sheetFormatPr defaultColWidth="9" defaultRowHeight="15.6"/>
  <cols>
    <col min="1" max="1" width="17.25" style="14" customWidth="1"/>
    <col min="2" max="2" width="15.3796296296296" style="14" customWidth="1"/>
    <col min="3" max="3" width="10" style="14" customWidth="1"/>
    <col min="4" max="4" width="20.3796296296296" style="14" customWidth="1"/>
    <col min="5" max="5" width="9" style="14"/>
    <col min="6" max="7" width="9" style="15"/>
    <col min="8" max="8" width="9" style="14"/>
    <col min="9" max="9" width="11.6296296296296" style="14" customWidth="1"/>
    <col min="10" max="10" width="12.75" style="14" customWidth="1"/>
    <col min="11" max="11" width="9" style="14"/>
    <col min="12" max="12" width="13.8796296296296" style="14" customWidth="1"/>
    <col min="13" max="13" width="9.37962962962963" style="14" customWidth="1"/>
    <col min="14" max="14" width="12.75" style="14" customWidth="1"/>
    <col min="15" max="15" width="9.37962962962963" style="14" customWidth="1"/>
    <col min="16" max="16384" width="9" style="14"/>
  </cols>
  <sheetData>
    <row r="1" ht="33.75" customHeight="1" spans="1:12">
      <c r="A1" s="16" t="s">
        <v>1252</v>
      </c>
      <c r="B1" s="16"/>
      <c r="C1" s="16"/>
      <c r="D1" s="16"/>
      <c r="E1" s="16"/>
      <c r="F1" s="16"/>
      <c r="G1" s="16"/>
      <c r="H1" s="16"/>
      <c r="I1" s="16"/>
    </row>
    <row r="2" s="13" customFormat="1" ht="28.5" customHeight="1" spans="1:12">
      <c r="A2" s="17" t="s">
        <v>1253</v>
      </c>
      <c r="B2" s="17" t="s">
        <v>1254</v>
      </c>
      <c r="C2" s="17" t="s">
        <v>1255</v>
      </c>
      <c r="D2" s="17" t="s">
        <v>1256</v>
      </c>
      <c r="E2" s="17" t="s">
        <v>1257</v>
      </c>
      <c r="F2" s="18" t="s">
        <v>1258</v>
      </c>
      <c r="G2" s="19"/>
      <c r="H2" s="17" t="s">
        <v>1259</v>
      </c>
      <c r="I2" s="17" t="s">
        <v>1260</v>
      </c>
      <c r="K2" s="13" t="s">
        <v>1261</v>
      </c>
      <c r="L2" s="13" t="s">
        <v>1262</v>
      </c>
    </row>
    <row r="3" ht="18" customHeight="1" spans="1:12">
      <c r="A3" s="17" t="s">
        <v>1263</v>
      </c>
      <c r="B3" s="20">
        <v>368</v>
      </c>
      <c r="C3" s="21" t="s">
        <v>222</v>
      </c>
      <c r="D3" s="22" t="s">
        <v>1264</v>
      </c>
      <c r="E3" s="23" t="str">
        <f>VLOOKUP(C3,[1]物品代码!A:M,5,0)</f>
        <v>EA/个</v>
      </c>
      <c r="F3" s="24">
        <v>3.33507042253521</v>
      </c>
      <c r="G3" s="25">
        <f>SUM(F3:F11)</f>
        <v>31.202323943662</v>
      </c>
      <c r="H3" s="26">
        <f>SUM(F3:F12)</f>
        <v>51.712323943662</v>
      </c>
      <c r="I3" s="27">
        <f>H3/B3</f>
        <v>0.140522619412125</v>
      </c>
      <c r="J3" s="28">
        <f>SUM(F3:F11)/B3</f>
        <v>0.084788923759951</v>
      </c>
    </row>
    <row r="4" ht="18" customHeight="1" spans="1:12">
      <c r="A4" s="17"/>
      <c r="B4" s="20"/>
      <c r="C4" s="21" t="s">
        <v>226</v>
      </c>
      <c r="D4" s="22" t="s">
        <v>1265</v>
      </c>
      <c r="E4" s="23" t="str">
        <f>VLOOKUP(C4,[1]物品代码!A:M,5,0)</f>
        <v>EA/个</v>
      </c>
      <c r="F4" s="24">
        <v>3.41929577464789</v>
      </c>
      <c r="G4" s="29"/>
      <c r="H4" s="26"/>
      <c r="I4" s="27"/>
    </row>
    <row r="5" ht="18" customHeight="1" spans="1:12">
      <c r="A5" s="17"/>
      <c r="B5" s="20"/>
      <c r="C5" s="21" t="s">
        <v>229</v>
      </c>
      <c r="D5" s="23" t="s">
        <v>1266</v>
      </c>
      <c r="E5" s="23" t="str">
        <f>VLOOKUP(C5,[1]物品代码!A:M,5,0)</f>
        <v>EA/个</v>
      </c>
      <c r="F5" s="24">
        <v>3.248</v>
      </c>
      <c r="G5" s="29"/>
      <c r="H5" s="26"/>
      <c r="I5" s="27"/>
    </row>
    <row r="6" ht="18" customHeight="1" spans="1:12">
      <c r="A6" s="17"/>
      <c r="B6" s="20"/>
      <c r="C6" s="21" t="s">
        <v>232</v>
      </c>
      <c r="D6" s="22" t="s">
        <v>1267</v>
      </c>
      <c r="E6" s="23" t="str">
        <f>VLOOKUP(C6,[1]物品代码!A:M,5,0)</f>
        <v>EA/个</v>
      </c>
      <c r="F6" s="24">
        <v>3.24859154929577</v>
      </c>
      <c r="G6" s="29"/>
      <c r="H6" s="26"/>
      <c r="I6" s="27"/>
    </row>
    <row r="7" ht="18" customHeight="1" spans="1:12">
      <c r="A7" s="17"/>
      <c r="B7" s="20"/>
      <c r="C7" s="21" t="s">
        <v>241</v>
      </c>
      <c r="D7" s="22" t="s">
        <v>1268</v>
      </c>
      <c r="E7" s="23" t="str">
        <f>VLOOKUP(C7,[1]物品代码!A:M,5,0)</f>
        <v>EA/个</v>
      </c>
      <c r="F7" s="24">
        <v>3.24859154929577</v>
      </c>
      <c r="G7" s="29"/>
      <c r="H7" s="26"/>
      <c r="I7" s="27"/>
      <c r="K7" s="14">
        <v>767</v>
      </c>
      <c r="L7" s="30">
        <f>+K7*H3</f>
        <v>39663.3524647887</v>
      </c>
    </row>
    <row r="8" ht="18" customHeight="1" spans="1:12">
      <c r="A8" s="17"/>
      <c r="B8" s="20"/>
      <c r="C8" s="21" t="s">
        <v>235</v>
      </c>
      <c r="D8" s="23" t="s">
        <v>1269</v>
      </c>
      <c r="E8" s="23" t="str">
        <f>VLOOKUP(C8,[1]物品代码!A:M,5,0)</f>
        <v>EA/个</v>
      </c>
      <c r="F8" s="24">
        <v>3.761</v>
      </c>
      <c r="G8" s="29"/>
      <c r="H8" s="26"/>
      <c r="I8" s="27"/>
    </row>
    <row r="9" ht="18" customHeight="1" spans="1:12">
      <c r="A9" s="17"/>
      <c r="B9" s="20"/>
      <c r="C9" s="21" t="s">
        <v>238</v>
      </c>
      <c r="D9" s="22" t="s">
        <v>1270</v>
      </c>
      <c r="E9" s="23" t="str">
        <f>VLOOKUP(C9,[1]物品代码!A:M,5,0)</f>
        <v>EA/个</v>
      </c>
      <c r="F9" s="24">
        <v>3.07788732394366</v>
      </c>
      <c r="G9" s="29"/>
      <c r="H9" s="26"/>
      <c r="I9" s="27"/>
    </row>
    <row r="10" ht="18" customHeight="1" spans="1:12">
      <c r="A10" s="17"/>
      <c r="B10" s="20"/>
      <c r="C10" s="21" t="s">
        <v>243</v>
      </c>
      <c r="D10" s="22" t="s">
        <v>1271</v>
      </c>
      <c r="E10" s="23" t="str">
        <f>VLOOKUP(C10,[1]物品代码!A:M,5,0)</f>
        <v>EA/个</v>
      </c>
      <c r="F10" s="24">
        <v>4.01788732394366</v>
      </c>
      <c r="G10" s="29"/>
      <c r="H10" s="26"/>
      <c r="I10" s="27"/>
    </row>
    <row r="11" ht="18" customHeight="1" spans="1:12">
      <c r="A11" s="17"/>
      <c r="B11" s="20"/>
      <c r="C11" s="21" t="s">
        <v>246</v>
      </c>
      <c r="D11" s="23" t="s">
        <v>1272</v>
      </c>
      <c r="E11" s="23" t="str">
        <f>VLOOKUP(C11,[1]物品代码!A:M,5,0)</f>
        <v>EA/个</v>
      </c>
      <c r="F11" s="24">
        <v>3.846</v>
      </c>
      <c r="G11" s="31"/>
      <c r="H11" s="26"/>
      <c r="I11" s="27"/>
    </row>
    <row r="12" ht="18" customHeight="1" spans="1:12">
      <c r="A12" s="17"/>
      <c r="B12" s="20"/>
      <c r="C12" s="21" t="s">
        <v>256</v>
      </c>
      <c r="D12" s="23" t="s">
        <v>257</v>
      </c>
      <c r="E12" s="23" t="str">
        <f>VLOOKUP(C12,[1]物品代码!A:M,5,0)</f>
        <v>EA/个</v>
      </c>
      <c r="F12" s="32">
        <v>20.51</v>
      </c>
      <c r="G12" s="33"/>
      <c r="H12" s="26"/>
      <c r="I12" s="27"/>
    </row>
    <row r="13" ht="18" customHeight="1" spans="1:12">
      <c r="A13" s="17" t="s">
        <v>1273</v>
      </c>
      <c r="B13" s="20">
        <v>298</v>
      </c>
      <c r="C13" s="21" t="s">
        <v>249</v>
      </c>
      <c r="D13" s="23" t="s">
        <v>1274</v>
      </c>
      <c r="E13" s="23" t="str">
        <f>VLOOKUP(C13,[1]物品代码!A:M,5,0)</f>
        <v>EA/个</v>
      </c>
      <c r="F13" s="24">
        <v>4.017</v>
      </c>
      <c r="G13" s="25">
        <f>SUM(F13:F18)</f>
        <v>25.469</v>
      </c>
      <c r="H13" s="34">
        <f>SUM(F13:F19)</f>
        <v>42.559</v>
      </c>
      <c r="I13" s="27">
        <f>H13/B13</f>
        <v>0.142815436241611</v>
      </c>
      <c r="J13" s="28">
        <f>SUM(F13:F18)/B13</f>
        <v>0.0854664429530201</v>
      </c>
    </row>
    <row r="14" ht="18" customHeight="1" spans="1:12">
      <c r="A14" s="17"/>
      <c r="B14" s="20"/>
      <c r="C14" s="21" t="s">
        <v>251</v>
      </c>
      <c r="D14" s="23" t="s">
        <v>1275</v>
      </c>
      <c r="E14" s="23" t="str">
        <f>VLOOKUP(C14,[1]物品代码!A:M,5,0)</f>
        <v>EA/个</v>
      </c>
      <c r="F14" s="24">
        <v>3.846</v>
      </c>
      <c r="G14" s="29"/>
      <c r="H14" s="17"/>
      <c r="I14" s="27"/>
    </row>
    <row r="15" ht="18" customHeight="1" spans="1:12">
      <c r="A15" s="17"/>
      <c r="B15" s="20"/>
      <c r="C15" s="21" t="s">
        <v>252</v>
      </c>
      <c r="D15" s="23" t="s">
        <v>1276</v>
      </c>
      <c r="E15" s="23" t="str">
        <f>VLOOKUP(C15,[1]物品代码!A:M,5,0)</f>
        <v>EA/个</v>
      </c>
      <c r="F15" s="24">
        <v>3.846</v>
      </c>
      <c r="G15" s="29"/>
      <c r="H15" s="17"/>
      <c r="I15" s="27"/>
    </row>
    <row r="16" ht="18" customHeight="1" spans="1:12">
      <c r="A16" s="17"/>
      <c r="B16" s="20"/>
      <c r="C16" s="21" t="s">
        <v>253</v>
      </c>
      <c r="D16" s="23" t="s">
        <v>1277</v>
      </c>
      <c r="E16" s="23" t="str">
        <f>VLOOKUP(C16,[1]物品代码!A:M,5,0)</f>
        <v>EA/个</v>
      </c>
      <c r="F16" s="24">
        <v>4.53</v>
      </c>
      <c r="G16" s="29"/>
      <c r="H16" s="17"/>
      <c r="I16" s="27"/>
      <c r="K16" s="14">
        <f>1114-8</f>
        <v>1106</v>
      </c>
      <c r="L16" s="30">
        <f>+K16*H13</f>
        <v>47070.254</v>
      </c>
    </row>
    <row r="17" ht="18" customHeight="1" spans="1:15">
      <c r="A17" s="17"/>
      <c r="B17" s="20"/>
      <c r="C17" s="21" t="s">
        <v>254</v>
      </c>
      <c r="D17" s="23" t="s">
        <v>1278</v>
      </c>
      <c r="E17" s="23" t="str">
        <f>VLOOKUP(C17,[1]物品代码!A:M,5,0)</f>
        <v>EA/个</v>
      </c>
      <c r="F17" s="24">
        <v>4.615</v>
      </c>
      <c r="G17" s="29"/>
      <c r="H17" s="17"/>
      <c r="I17" s="27"/>
    </row>
    <row r="18" ht="18" customHeight="1" spans="1:15">
      <c r="A18" s="17"/>
      <c r="B18" s="20"/>
      <c r="C18" s="21" t="s">
        <v>255</v>
      </c>
      <c r="D18" s="23" t="s">
        <v>1279</v>
      </c>
      <c r="E18" s="23" t="str">
        <f>VLOOKUP(C18,[1]物品代码!A:M,5,0)</f>
        <v>EA/个</v>
      </c>
      <c r="F18" s="24">
        <v>4.615</v>
      </c>
      <c r="G18" s="31"/>
      <c r="H18" s="17"/>
      <c r="I18" s="27"/>
    </row>
    <row r="19" ht="18" customHeight="1" spans="1:15">
      <c r="A19" s="17"/>
      <c r="B19" s="20"/>
      <c r="C19" s="21" t="s">
        <v>259</v>
      </c>
      <c r="D19" s="23" t="s">
        <v>260</v>
      </c>
      <c r="E19" s="23" t="str">
        <f>VLOOKUP(C19,[1]物品代码!A:M,5,0)</f>
        <v>EA/个</v>
      </c>
      <c r="F19" s="32">
        <v>17.09</v>
      </c>
      <c r="G19" s="33"/>
      <c r="H19" s="17"/>
      <c r="I19" s="27"/>
    </row>
    <row r="20" ht="18" customHeight="1" spans="1:15">
      <c r="A20" s="17" t="s">
        <v>1280</v>
      </c>
      <c r="B20" s="20">
        <v>258</v>
      </c>
      <c r="C20" s="21" t="s">
        <v>222</v>
      </c>
      <c r="D20" s="22" t="s">
        <v>1264</v>
      </c>
      <c r="E20" s="23" t="str">
        <f>VLOOKUP(C20,[1]物品代码!A:M,5,0)</f>
        <v>EA/个</v>
      </c>
      <c r="F20" s="24">
        <v>3.33507042253521</v>
      </c>
      <c r="G20" s="25">
        <f>SUM(F20:F25)</f>
        <v>20.347323943662</v>
      </c>
      <c r="H20" s="34">
        <f>SUM(F20:F26)</f>
        <v>40.857323943662</v>
      </c>
      <c r="I20" s="27">
        <f>H20/B20</f>
        <v>0.158361720711868</v>
      </c>
      <c r="J20" s="28">
        <f>SUM(F20:F25)/B20</f>
        <v>0.0788655966808603</v>
      </c>
    </row>
    <row r="21" ht="18" customHeight="1" spans="1:15">
      <c r="A21" s="17"/>
      <c r="B21" s="20"/>
      <c r="C21" s="21" t="s">
        <v>226</v>
      </c>
      <c r="D21" s="22" t="s">
        <v>1265</v>
      </c>
      <c r="E21" s="23" t="str">
        <f>VLOOKUP(C21,[1]物品代码!A:M,5,0)</f>
        <v>EA/个</v>
      </c>
      <c r="F21" s="24">
        <v>3.41929577464789</v>
      </c>
      <c r="G21" s="29"/>
      <c r="H21" s="17"/>
      <c r="I21" s="27"/>
    </row>
    <row r="22" ht="18" customHeight="1" spans="1:15">
      <c r="A22" s="17"/>
      <c r="B22" s="20"/>
      <c r="C22" s="21" t="s">
        <v>232</v>
      </c>
      <c r="D22" s="22" t="s">
        <v>1267</v>
      </c>
      <c r="E22" s="23" t="str">
        <f>VLOOKUP(C22,[1]物品代码!A:M,5,0)</f>
        <v>EA/个</v>
      </c>
      <c r="F22" s="24">
        <v>3.24859154929577</v>
      </c>
      <c r="G22" s="29"/>
      <c r="H22" s="17"/>
      <c r="I22" s="27"/>
    </row>
    <row r="23" ht="18" customHeight="1" spans="1:15">
      <c r="A23" s="17"/>
      <c r="B23" s="20"/>
      <c r="C23" s="306" t="s">
        <v>238</v>
      </c>
      <c r="D23" s="22" t="s">
        <v>1270</v>
      </c>
      <c r="E23" s="23" t="str">
        <f>VLOOKUP(C23,[1]物品代码!A:M,5,0)</f>
        <v>EA/个</v>
      </c>
      <c r="F23" s="24">
        <v>3.07788732394366</v>
      </c>
      <c r="G23" s="29"/>
      <c r="H23" s="17"/>
      <c r="I23" s="27"/>
      <c r="K23" s="14">
        <f>1341</f>
        <v>1341</v>
      </c>
      <c r="L23" s="30">
        <f>+K23*H20</f>
        <v>54789.6714084507</v>
      </c>
      <c r="N23" s="30">
        <f>+(K23+8)*H20</f>
        <v>55116.53</v>
      </c>
      <c r="O23" s="30">
        <f>+N23-L23</f>
        <v>326.858591549295</v>
      </c>
    </row>
    <row r="24" ht="18" customHeight="1" spans="1:15">
      <c r="A24" s="17"/>
      <c r="B24" s="20"/>
      <c r="C24" s="21" t="s">
        <v>241</v>
      </c>
      <c r="D24" s="22" t="s">
        <v>1268</v>
      </c>
      <c r="E24" s="23" t="str">
        <f>VLOOKUP(C24,[1]物品代码!A:M,5,0)</f>
        <v>EA/个</v>
      </c>
      <c r="F24" s="24">
        <v>3.24859154929577</v>
      </c>
      <c r="G24" s="29"/>
      <c r="H24" s="17"/>
      <c r="I24" s="27"/>
    </row>
    <row r="25" ht="18" customHeight="1" spans="1:15">
      <c r="A25" s="17"/>
      <c r="B25" s="20"/>
      <c r="C25" s="21" t="s">
        <v>243</v>
      </c>
      <c r="D25" s="22" t="s">
        <v>1271</v>
      </c>
      <c r="E25" s="23" t="str">
        <f>VLOOKUP(C25,[1]物品代码!A:M,5,0)</f>
        <v>EA/个</v>
      </c>
      <c r="F25" s="24">
        <v>4.01788732394366</v>
      </c>
      <c r="G25" s="31"/>
      <c r="H25" s="17"/>
      <c r="I25" s="27"/>
    </row>
    <row r="26" ht="18" customHeight="1" spans="1:15">
      <c r="A26" s="17"/>
      <c r="B26" s="20"/>
      <c r="C26" s="21" t="s">
        <v>261</v>
      </c>
      <c r="D26" s="23" t="s">
        <v>262</v>
      </c>
      <c r="E26" s="23" t="str">
        <f>VLOOKUP(C26,[1]物品代码!A:M,5,0)</f>
        <v>EA/个</v>
      </c>
      <c r="F26" s="32">
        <v>20.51</v>
      </c>
      <c r="G26" s="33"/>
      <c r="H26" s="17"/>
      <c r="I26" s="27"/>
    </row>
    <row r="27" spans="1:15">
      <c r="K27" s="14">
        <f>SUM(K3:K26)</f>
        <v>3214</v>
      </c>
      <c r="L27" s="35">
        <f>SUM(L3:L26)</f>
        <v>141523.277873239</v>
      </c>
      <c r="M27" s="30"/>
    </row>
  </sheetData>
  <mergeCells count="20">
    <mergeCell ref="A1:I1"/>
    <mergeCell ref="F2:G2"/>
    <mergeCell ref="F12:G12"/>
    <mergeCell ref="F19:G19"/>
    <mergeCell ref="F26:G26"/>
    <mergeCell ref="A3:A12"/>
    <mergeCell ref="A13:A19"/>
    <mergeCell ref="A20:A26"/>
    <mergeCell ref="B3:B12"/>
    <mergeCell ref="B13:B19"/>
    <mergeCell ref="B20:B26"/>
    <mergeCell ref="G3:G11"/>
    <mergeCell ref="G13:G18"/>
    <mergeCell ref="G20:G25"/>
    <mergeCell ref="H3:H12"/>
    <mergeCell ref="H13:H19"/>
    <mergeCell ref="H20:H26"/>
    <mergeCell ref="I3:I12"/>
    <mergeCell ref="I13:I19"/>
    <mergeCell ref="I20:I26"/>
  </mergeCells>
  <printOptions horizontalCentered="1"/>
  <pageMargins left="0.393700787401575" right="0.393700787401575" top="0.748031496062992" bottom="0.748031496062992" header="0.31496062992126" footer="0.31496062992126"/>
  <pageSetup paperSize="9" scale="88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2016</vt:lpstr>
      <vt:lpstr>P&amp;L forcast 2021</vt:lpstr>
      <vt:lpstr>P&amp;L forcast 2021 (2)</vt:lpstr>
      <vt:lpstr>P&amp;L forcast 2021 (3)</vt:lpstr>
      <vt:lpstr>礼盒清单</vt:lpstr>
      <vt:lpstr>Consumption Analysis (2016)</vt:lpstr>
      <vt:lpstr>Consumption Analysis(2017)</vt:lpstr>
      <vt:lpstr>辅助明细帐(2017)</vt:lpstr>
      <vt:lpstr>2017Mooncake Unit Cost</vt:lpstr>
      <vt:lpstr>mooncake cost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Anna Yang</cp:lastModifiedBy>
  <dcterms:created xsi:type="dcterms:W3CDTF">2006-09-16T00:00:00Z</dcterms:created>
  <cp:lastPrinted>2024-06-25T03:46:00Z</cp:lastPrinted>
  <dcterms:modified xsi:type="dcterms:W3CDTF">2026-05-08T03:42:46Z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83BF752D57CA45F3A63E3238987450E8</vt:lpwstr>
  </property>
  <property fmtid="{D5CDD505-2E9C-101B-9397-08002B2CF9AE}" pid="3" name="KSOProductBuildVer">
    <vt:lpwstr>2052-12.1.0.23542</vt:lpwstr>
  </property>
</Properties>
</file>